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395" windowWidth="15360" windowHeight="9120" tabRatio="599" firstSheet="0" activeTab="0"/>
  </bookViews>
  <sheets>
    <sheet name="Alcalimetro" sheetId="1" r:id="rId1"/>
    <sheet name="Metodo" sheetId="2" state="hidden" r:id="rId2"/>
  </sheets>
  <definedNames>
    <definedName name="_xlnm.Print_Area" localSheetId="0">'Alcalimetro'!$B$2:$H$35</definedName>
  </definedNames>
  <calcPr fullCalcOnLoad="1" iterate="1" iterateCount="100" iterateDelta="0.001"/>
</workbook>
</file>

<file path=xl/comments1.xml><?xml version="1.0" encoding="utf-8"?>
<comments xmlns="http://schemas.openxmlformats.org/spreadsheetml/2006/main">
  <authors>
    <author>Jose R. Castillo</author>
    <author>Jos? Rafael Castillo</author>
  </authors>
  <commentList>
    <comment ref="B2" authorId="0">
      <text>
        <r>
          <rPr>
            <b/>
            <sz val="10"/>
            <rFont val="Tahoma"/>
            <family val="2"/>
          </rPr>
          <t>atecnica@agro-marketing.com</t>
        </r>
        <r>
          <rPr>
            <sz val="8"/>
            <rFont val="Tahoma"/>
            <family val="0"/>
          </rPr>
          <t xml:space="preserve">
</t>
        </r>
        <r>
          <rPr>
            <sz val="10"/>
            <color indexed="12"/>
            <rFont val="Arial"/>
            <family val="2"/>
          </rPr>
          <t xml:space="preserve">Esta hoja de calculo genera resultados utiles para dar recomendaciones adecuadas a los productores agricolas sobre la acidificación del agua de irrigación y la neutralización de su alcalinidad.
Para utilizarla, simplemente:
1) Coloque los datos necesarios en las celdas con letras rojas y fondo amarillo
2) Escoja las unidades para alcalinidad de la muestra y punto final deseado (en las cajas de dialogo ubicadas al lado de las celdas F9 y F12)
3) Pulse el boton </t>
        </r>
        <r>
          <rPr>
            <b/>
            <sz val="10"/>
            <color indexed="8"/>
            <rFont val="Arial"/>
            <family val="2"/>
          </rPr>
          <t xml:space="preserve">"Calcular"
</t>
        </r>
        <r>
          <rPr>
            <sz val="10"/>
            <color indexed="12"/>
            <rFont val="Arial"/>
            <family val="2"/>
          </rPr>
          <t>En caso de que algun dato suministrado tenga valores erroneos o fuera de lo comun, se le dará una advertencia en la celda D15. Corrija y vuelva a pulsar la tecla</t>
        </r>
        <r>
          <rPr>
            <b/>
            <sz val="10"/>
            <color indexed="8"/>
            <rFont val="Arial"/>
            <family val="2"/>
          </rPr>
          <t xml:space="preserve"> "Calcular"</t>
        </r>
        <r>
          <rPr>
            <sz val="10"/>
            <color indexed="12"/>
            <rFont val="Arial"/>
            <family val="2"/>
          </rPr>
          <t xml:space="preserve">
Cualquier duda, contactenos por el 00-58-242-4010186 o a traves de nuestro correo electronico</t>
        </r>
      </text>
    </comment>
    <comment ref="B4" authorId="0">
      <text>
        <r>
          <rPr>
            <b/>
            <sz val="10"/>
            <rFont val="Tahoma"/>
            <family val="2"/>
          </rPr>
          <t>atecnica@agro-marketing.com</t>
        </r>
        <r>
          <rPr>
            <sz val="8"/>
            <rFont val="Tahoma"/>
            <family val="0"/>
          </rPr>
          <t xml:space="preserve">
</t>
        </r>
        <r>
          <rPr>
            <sz val="10"/>
            <color indexed="12"/>
            <rFont val="Arial"/>
            <family val="2"/>
          </rPr>
          <t xml:space="preserve">La excesiva alcalinidad en el agua de irrigación, debido a la presencia de carbonatos, puede incrementar el pH de la solución nutritiva, resultando en una disminución de la biodisponibilidad de los micronutrientes a las plantas.  Esta hoja de calculo fue diseñada para ofrecer un metodo rapido, practico y sencillo de calcular: 
1)  La cantidad de </t>
        </r>
        <r>
          <rPr>
            <b/>
            <sz val="10"/>
            <color indexed="17"/>
            <rFont val="Arial"/>
            <family val="2"/>
          </rPr>
          <t>URFOS</t>
        </r>
        <r>
          <rPr>
            <b/>
            <sz val="10"/>
            <color indexed="12"/>
            <rFont val="Arial"/>
            <family val="2"/>
          </rPr>
          <t xml:space="preserve"> </t>
        </r>
        <r>
          <rPr>
            <b/>
            <sz val="10"/>
            <rFont val="Arial"/>
            <family val="2"/>
          </rPr>
          <t>44</t>
        </r>
        <r>
          <rPr>
            <sz val="10"/>
            <color indexed="12"/>
            <rFont val="Arial"/>
            <family val="2"/>
          </rPr>
          <t xml:space="preserve"> y/o otros acidos (nitrico, fosforico, sulfurico) que se deben añadir al agua de irrigación para modificar su nivel de alcalinidad y pH, de tal forma de llevarlos a niveles mas adecuados para el uso agricola
2)  La cantidad de nutrientes, P-N añadidos por el </t>
        </r>
        <r>
          <rPr>
            <b/>
            <sz val="10"/>
            <color indexed="17"/>
            <rFont val="Arial"/>
            <family val="2"/>
          </rPr>
          <t>URFOS</t>
        </r>
        <r>
          <rPr>
            <b/>
            <sz val="10"/>
            <color indexed="12"/>
            <rFont val="Arial"/>
            <family val="2"/>
          </rPr>
          <t xml:space="preserve"> </t>
        </r>
        <r>
          <rPr>
            <b/>
            <sz val="10"/>
            <rFont val="Arial"/>
            <family val="2"/>
          </rPr>
          <t>44</t>
        </r>
        <r>
          <rPr>
            <sz val="10"/>
            <color indexed="12"/>
            <rFont val="Arial"/>
            <family val="2"/>
          </rPr>
          <t xml:space="preserve">, y/o el N, P y S debidos a la adición del acido fosforico, nitrico y/o sulfurico
3)  El pH como la alcalinidad despues de la acidificación, independientemente del punto final escogido
La hoja de calculo toma en cuenta  las reacciones que dependen del  pH lo que determina el porcentaje relativo de cada especie carbonatada -  carbonatos (CO3--), bicarbonatos (HCO3-), y acido carbonico (H2CO3) - presentes en la solución.  Adicionalmente, los calculos de acidificación toman en cuenta el pH inicial de la solución, su alcalinidad  y las caracteristicas de disociación del </t>
        </r>
        <r>
          <rPr>
            <b/>
            <sz val="10"/>
            <color indexed="17"/>
            <rFont val="Arial"/>
            <family val="2"/>
          </rPr>
          <t>URFOS</t>
        </r>
        <r>
          <rPr>
            <b/>
            <sz val="10"/>
            <color indexed="12"/>
            <rFont val="Arial"/>
            <family val="2"/>
          </rPr>
          <t xml:space="preserve"> </t>
        </r>
        <r>
          <rPr>
            <b/>
            <sz val="10"/>
            <rFont val="Arial"/>
            <family val="2"/>
          </rPr>
          <t>44</t>
        </r>
        <r>
          <rPr>
            <b/>
            <sz val="10"/>
            <color indexed="12"/>
            <rFont val="Arial"/>
            <family val="2"/>
          </rPr>
          <t xml:space="preserve"> </t>
        </r>
        <r>
          <rPr>
            <sz val="10"/>
            <color indexed="12"/>
            <rFont val="Arial"/>
            <family val="2"/>
          </rPr>
          <t xml:space="preserve">y/o del acido seleccionado para neutralizar su alcalinidad.  
El metodo que se utiliza en esta hoja de calculo toma en cuenta el metodo utilizado por especialistas en irrigación de la Universidad Estatal de Purdue, Carolina del Norte, EE.UU., y que esta disponible en forma gratuita en Internet en la dirección www.ces.ncsu.edu/depts/hort/floriculture/software/alk.html. Este metodo ha sido validado en dicha casa de estudios (en cuanto a los acidos fosforico, sulfurico y nitrico), con diversos tipos de agua de Indiana y Carolina del Norte. En cuanto al </t>
        </r>
        <r>
          <rPr>
            <b/>
            <sz val="10"/>
            <color indexed="17"/>
            <rFont val="Arial"/>
            <family val="2"/>
          </rPr>
          <t>URFOS</t>
        </r>
        <r>
          <rPr>
            <b/>
            <sz val="10"/>
            <rFont val="Arial"/>
            <family val="2"/>
          </rPr>
          <t xml:space="preserve"> 44</t>
        </r>
        <r>
          <rPr>
            <sz val="10"/>
            <color indexed="12"/>
            <rFont val="Arial"/>
            <family val="2"/>
          </rPr>
          <t xml:space="preserve"> los resultados se corresponden adecuadamente con la experiencia acumulada por </t>
        </r>
        <r>
          <rPr>
            <b/>
            <sz val="10"/>
            <rFont val="Arial"/>
            <family val="2"/>
          </rPr>
          <t>www.tripoliven.com</t>
        </r>
        <r>
          <rPr>
            <sz val="10"/>
            <color indexed="12"/>
            <rFont val="Arial"/>
            <family val="2"/>
          </rPr>
          <t xml:space="preserve"> y por </t>
        </r>
        <r>
          <rPr>
            <b/>
            <sz val="10"/>
            <rFont val="Arial"/>
            <family val="2"/>
          </rPr>
          <t>www.agro-marketing.com</t>
        </r>
        <r>
          <rPr>
            <sz val="10"/>
            <color indexed="12"/>
            <rFont val="Arial"/>
            <family val="2"/>
          </rPr>
          <t xml:space="preserve">, productor y comercializador, respectivamente, del </t>
        </r>
        <r>
          <rPr>
            <b/>
            <sz val="10"/>
            <color indexed="17"/>
            <rFont val="Arial"/>
            <family val="2"/>
          </rPr>
          <t>URFOS</t>
        </r>
        <r>
          <rPr>
            <b/>
            <sz val="10"/>
            <color indexed="12"/>
            <rFont val="Arial"/>
            <family val="2"/>
          </rPr>
          <t xml:space="preserve"> </t>
        </r>
        <r>
          <rPr>
            <b/>
            <sz val="10"/>
            <rFont val="Arial"/>
            <family val="2"/>
          </rPr>
          <t>44</t>
        </r>
        <r>
          <rPr>
            <sz val="10"/>
            <color indexed="12"/>
            <rFont val="Arial"/>
            <family val="2"/>
          </rPr>
          <t>.  
La hoja de calculo genera resultados utiles para dar recomendaciones adecuadas a los productores agricolas sobre la acidificación del agua de irrigación y la neutralización de su alcalinidad</t>
        </r>
      </text>
    </comment>
    <comment ref="D4" authorId="0">
      <text>
        <r>
          <rPr>
            <b/>
            <sz val="10"/>
            <rFont val="Tahoma"/>
            <family val="2"/>
          </rPr>
          <t>atecnica@agro-marketing.com</t>
        </r>
        <r>
          <rPr>
            <sz val="8"/>
            <rFont val="Tahoma"/>
            <family val="0"/>
          </rPr>
          <t xml:space="preserve">
</t>
        </r>
        <r>
          <rPr>
            <sz val="10"/>
            <color indexed="12"/>
            <rFont val="Arial"/>
            <family val="2"/>
          </rPr>
          <t xml:space="preserve">La sustancia mas segura, desde el punto de vista del manejo y almacenamiento, es el </t>
        </r>
        <r>
          <rPr>
            <b/>
            <sz val="10"/>
            <color indexed="58"/>
            <rFont val="Arial"/>
            <family val="2"/>
          </rPr>
          <t>URFOS</t>
        </r>
        <r>
          <rPr>
            <b/>
            <sz val="10"/>
            <color indexed="12"/>
            <rFont val="Arial"/>
            <family val="2"/>
          </rPr>
          <t xml:space="preserve"> </t>
        </r>
        <r>
          <rPr>
            <b/>
            <sz val="10"/>
            <rFont val="Arial"/>
            <family val="2"/>
          </rPr>
          <t>44</t>
        </r>
        <r>
          <rPr>
            <sz val="10"/>
            <color indexed="12"/>
            <rFont val="Arial"/>
            <family val="2"/>
          </rPr>
          <t xml:space="preserve">. Dado que es un producto sólido (cristales de 0.2-0.6 mm), con este material no son necesarias mayores precauciones ni en el manejo ni en el almacenamiento. El </t>
        </r>
        <r>
          <rPr>
            <b/>
            <sz val="10"/>
            <color indexed="17"/>
            <rFont val="Arial"/>
            <family val="2"/>
          </rPr>
          <t>URFOS</t>
        </r>
        <r>
          <rPr>
            <sz val="10"/>
            <color indexed="12"/>
            <rFont val="Arial"/>
            <family val="2"/>
          </rPr>
          <t xml:space="preserve"> </t>
        </r>
        <r>
          <rPr>
            <b/>
            <sz val="10"/>
            <rFont val="Arial"/>
            <family val="2"/>
          </rPr>
          <t>44</t>
        </r>
        <r>
          <rPr>
            <sz val="10"/>
            <color indexed="12"/>
            <rFont val="Arial"/>
            <family val="2"/>
          </rPr>
          <t xml:space="preserve">, sin embargo, tiene la fortaleza acida suficiente y similar a la del acido fosforico, por lo que corrije eficientemente la alcalinidad del agua de riego. El </t>
        </r>
        <r>
          <rPr>
            <b/>
            <sz val="10"/>
            <color indexed="17"/>
            <rFont val="Arial"/>
            <family val="2"/>
          </rPr>
          <t>URFOS</t>
        </r>
        <r>
          <rPr>
            <sz val="10"/>
            <color indexed="12"/>
            <rFont val="Arial"/>
            <family val="2"/>
          </rPr>
          <t xml:space="preserve"> </t>
        </r>
        <r>
          <rPr>
            <b/>
            <sz val="10"/>
            <rFont val="Arial"/>
            <family val="2"/>
          </rPr>
          <t>44</t>
        </r>
        <r>
          <rPr>
            <sz val="10"/>
            <color indexed="12"/>
            <rFont val="Arial"/>
            <family val="2"/>
          </rPr>
          <t xml:space="preserve"> se disuelve total e inmediatamente en el agua, y al disolverse en agua la temperatura de la solución se reduce (se enfría), a diferencia de los acidos tradicionales. Por estas propiedades se le puede considerar como un </t>
        </r>
        <r>
          <rPr>
            <b/>
            <sz val="10"/>
            <rFont val="Arial"/>
            <family val="2"/>
          </rPr>
          <t>"acido seco, frío y seguro"</t>
        </r>
        <r>
          <rPr>
            <sz val="10"/>
            <color indexed="12"/>
            <rFont val="Arial"/>
            <family val="2"/>
          </rPr>
          <t xml:space="preserve">
Si usted utiliza algun acido de los convencionales (fosforico, sulfurico, nitrico), es prudente que tenga en cuenta lo siguiente: La selección del tipo de acido se debe basar en el programa de nutrición utilizado, el tipo de equipo disponible y el grado de seguridad deseado.  Todos los acidos presentan riesgos y son dañinos al contacto con la piel.  En terminos relativos, el acido fosforico es el mas seguro, seguido del sulfurico, y despues el nitrico.  Tenga precacución cuando trabaje con acidos. Siempre use el equipo y vestimenta adecuada y proteja adecuadamente su cara y sus manos. Tenga presente tambien que los acidos son corrosivos y afectan el metal del equipo y tuberías.
</t>
        </r>
        <r>
          <rPr>
            <b/>
            <sz val="10"/>
            <color indexed="10"/>
            <rFont val="Arial"/>
            <family val="2"/>
          </rPr>
          <t xml:space="preserve">                                        SIEMPRE AÑADA EL ACIDO AL AGUA; NUNCA EL AGUA AL ACIDO!</t>
        </r>
        <r>
          <rPr>
            <sz val="10"/>
            <color indexed="12"/>
            <rFont val="Arial"/>
            <family val="2"/>
          </rPr>
          <t xml:space="preserve">
Siempre rechequee y reajuste el pH y la alcalinidad del agua. Tenga presente que el pH se puede incrementar como resultante de la reacción del acido añadido, con las costras presentes en los equipos y tuberías y  producidas por la dureza del agua</t>
        </r>
      </text>
    </comment>
    <comment ref="D12" authorId="0">
      <text>
        <r>
          <rPr>
            <b/>
            <sz val="10"/>
            <rFont val="Arial"/>
            <family val="2"/>
          </rPr>
          <t>atecnica@agro-marketing.com:</t>
        </r>
        <r>
          <rPr>
            <sz val="8"/>
            <rFont val="Tahoma"/>
            <family val="0"/>
          </rPr>
          <t xml:space="preserve">
</t>
        </r>
        <r>
          <rPr>
            <sz val="10"/>
            <color indexed="12"/>
            <rFont val="Arial"/>
            <family val="2"/>
          </rPr>
          <t xml:space="preserve">Revise el pH de la solución que sale de la manguera. Sea cuidadoso de no usar agua de riego con un pH menor de 4.0 y causar fitotoxicidad en el follaje. En cuanto a la alcalinidad, lo recomendable es que ésta no supere los 30 ppm de CaCO3. 
Si usa </t>
        </r>
        <r>
          <rPr>
            <b/>
            <sz val="10"/>
            <color indexed="17"/>
            <rFont val="Arial"/>
            <family val="2"/>
          </rPr>
          <t>URFOS</t>
        </r>
        <r>
          <rPr>
            <sz val="10"/>
            <color indexed="12"/>
            <rFont val="Arial"/>
            <family val="2"/>
          </rPr>
          <t xml:space="preserve"> </t>
        </r>
        <r>
          <rPr>
            <b/>
            <sz val="10"/>
            <rFont val="Arial"/>
            <family val="2"/>
          </rPr>
          <t>44</t>
        </r>
        <r>
          <rPr>
            <sz val="10"/>
            <color indexed="12"/>
            <rFont val="Arial"/>
            <family val="2"/>
          </rPr>
          <t>, en la dieta nutricional, generalmente no es necesaria una acidificación adicional para corregir pH y alcalinidad.</t>
        </r>
      </text>
    </comment>
    <comment ref="E4" authorId="0">
      <text>
        <r>
          <rPr>
            <b/>
            <sz val="10"/>
            <rFont val="Tahoma"/>
            <family val="2"/>
          </rPr>
          <t>atecnica@agro-marketing.com</t>
        </r>
        <r>
          <rPr>
            <sz val="8"/>
            <rFont val="Tahoma"/>
            <family val="0"/>
          </rPr>
          <t xml:space="preserve">
</t>
        </r>
        <r>
          <rPr>
            <b/>
            <sz val="9"/>
            <color indexed="12"/>
            <rFont val="Arial"/>
            <family val="2"/>
          </rPr>
          <t>Principio de calculo</t>
        </r>
        <r>
          <rPr>
            <sz val="9"/>
            <color indexed="12"/>
            <rFont val="Arial"/>
            <family val="2"/>
          </rPr>
          <t xml:space="preserve">
Se asume que la cantidad de acidificante es la requerida para lograr la variación de alcalinidad del agua (el sistema H2CO3-HCO3-CO3) y para llevar el pH inicial del agua hasta el pH final, aun en ausencia de alcalinidad
En este esquema de calculo la alcalinidad del agua es el factor mas importante que determina la cantidad de acidificante requerida, a menos que la alcalinidad sea tan baja (despreciable), en cuyo caso la cantidad de acidificante es solo la necesaria para suplir los protones (H+) que llevaran el pH del agua desde su valor inicial a su valor final</t>
        </r>
        <r>
          <rPr>
            <sz val="10"/>
            <color indexed="12"/>
            <rFont val="Arial"/>
            <family val="2"/>
          </rPr>
          <t xml:space="preserve">
</t>
        </r>
        <r>
          <rPr>
            <b/>
            <sz val="10"/>
            <color indexed="12"/>
            <rFont val="Arial"/>
            <family val="2"/>
          </rPr>
          <t>El calculo se basa en:</t>
        </r>
        <r>
          <rPr>
            <sz val="10"/>
            <color indexed="12"/>
            <rFont val="Arial"/>
            <family val="2"/>
          </rPr>
          <t xml:space="preserve">
</t>
        </r>
        <r>
          <rPr>
            <sz val="9"/>
            <color indexed="12"/>
            <rFont val="Arial"/>
            <family val="2"/>
          </rPr>
          <t>a) utilizar las constantes de equilibrio del acido carbonico en agua, para calcular las especies presentes (H2CO3-HCO3-CO3), antes y despues de la acidificación
b) utilizar las constantes de equilibrio del acidificante en agua, para calcular la cantidad de acidificante que se requiere para la variación de alcalinidad y de pH del agua</t>
        </r>
        <r>
          <rPr>
            <sz val="10"/>
            <color indexed="12"/>
            <rFont val="Arial"/>
            <family val="2"/>
          </rPr>
          <t xml:space="preserve">
</t>
        </r>
        <r>
          <rPr>
            <b/>
            <sz val="10"/>
            <color indexed="12"/>
            <rFont val="Arial"/>
            <family val="2"/>
          </rPr>
          <t>Como datos se deben conocer:</t>
        </r>
        <r>
          <rPr>
            <sz val="10"/>
            <color indexed="12"/>
            <rFont val="Arial"/>
            <family val="2"/>
          </rPr>
          <t xml:space="preserve"> 
</t>
        </r>
        <r>
          <rPr>
            <sz val="9"/>
            <color indexed="12"/>
            <rFont val="Arial"/>
            <family val="2"/>
          </rPr>
          <t>-el pH inicial (pHi) del agua y su alcalinidad inicial (alci). Se deben conocer ambos datos
-el pH final (pHf) del agua o su alcalinidad final (alcf). Se requiere conocer solo uno de estos dos datos</t>
        </r>
        <r>
          <rPr>
            <sz val="10"/>
            <color indexed="12"/>
            <rFont val="Arial"/>
            <family val="2"/>
          </rPr>
          <t xml:space="preserve">
</t>
        </r>
        <r>
          <rPr>
            <b/>
            <sz val="10"/>
            <color indexed="12"/>
            <rFont val="Arial"/>
            <family val="2"/>
          </rPr>
          <t>Algoritmo de calculo</t>
        </r>
        <r>
          <rPr>
            <sz val="10"/>
            <color indexed="12"/>
            <rFont val="Arial"/>
            <family val="2"/>
          </rPr>
          <t xml:space="preserve">
</t>
        </r>
        <r>
          <rPr>
            <sz val="9"/>
            <color indexed="12"/>
            <rFont val="Arial"/>
            <family val="2"/>
          </rPr>
          <t>- con el pHi se calcula la fracción molar inicial (fmoli) de las especies H2CO3-HCO3-CO3 
- con la fmoli y con la alci se calcula la relación entre la alcalinidad y la fracción molar inicial de las especies (alci/fmoli)
- esta relación (alci/fmoli) es equivalente a la concentración total de las especies ([C]=H2CO3 + HCO3 + CO3) la cual se mantiene constante para el agua dada, durante la acidificación: alci/fmoli = alcf/fmolf=[C]
- si se conoce el pHf se calcula la fracción molar final (fmolf) de las especies H2CO3-HCO3-CO3
- con la fmolf y la relación alcf/fmolf se calcula la alcalinidad final del agua (alcf)
- si se conoce la alcf, se calcula la fmolf de las especies (con la relación alcf/fmolf) y con la fmolf se calcula el pHf
- se calcula la variación de alcalinidad (alci-alcf) del agua
- se calcula la cantidad de H+ que se requiere para llevar el agua desde pHi a pHf
- dadas las constantes de equilibrio del acidificante en agua, se calcula la cantidad de acidificante que aporta los H+ para satisfacer la variación de alcalinidad y la variación de pH del agua
Ademas de tomar algunas pautas del metodo recomendado por los especialistas de la Universidad Estatal de Purdue, este algoritmo sigue tambien las pautas recomendadas por A.J.deLange (ajdel@cox.net) y publicadas en http://ajdel.wetnewf.org:81/Brewing_articles/Water_acidification.html</t>
        </r>
      </text>
    </comment>
    <comment ref="J5" authorId="1">
      <text>
        <r>
          <rPr>
            <b/>
            <sz val="8"/>
            <rFont val="Tahoma"/>
            <family val="0"/>
          </rPr>
          <t xml:space="preserve">atecnica@agro-marketing.com
</t>
        </r>
        <r>
          <rPr>
            <b/>
            <sz val="8"/>
            <color indexed="56"/>
            <rFont val="Tahoma"/>
            <family val="2"/>
          </rPr>
          <t xml:space="preserve">En esta hoja de calculo se pueden utilizar diversos acidificantes (ademas de la urea-fosfato, acido fosforico, acido sulfurico y acido nitrico). Solo se deben dar como datos los pK del acidificante que se desea evaluar, asi como su peso molecular, pureza y densidad (para el caso de acidificantes liquidos). 
En la tabla siguiente se dan valores de pK y PM  para algunos acidificantes
</t>
        </r>
        <r>
          <rPr>
            <b/>
            <sz val="8"/>
            <color indexed="10"/>
            <rFont val="Tahoma"/>
            <family val="2"/>
          </rPr>
          <t>Acido                  pK1          pK2             pK3                  PM (g/mol)</t>
        </r>
        <r>
          <rPr>
            <b/>
            <sz val="8"/>
            <color indexed="56"/>
            <rFont val="Tahoma"/>
            <family val="2"/>
          </rPr>
          <t xml:space="preserve">
Acetico              4,75          20               20                    60,05
Citrico                3,14            4,77            6,39            192,13
Clorhidrico       -1               20                20                    36,46
Lactico               3,86          20                20                    90,08
Fosforico           2,13            7,21           12,32              98,00
Sulfurico          -1                  1,92           20                   98,07
Tartarico          2,98             4,34           20                 150,09
Nitrico              -1                 20                20                   63,01
Para aquellos acidificantes con menos de tres etapas de disociación, se coloca un pK alto (ej pK = 20, como se muestra en la tabla) en las etapas de disociación inexistentes, esto asegura que el algoritmo de calculo no tome en cuenta dicha etapa de disociación
Para aquellos acidificantes con disociación total e inmediata en alguna de las etapas, se coloca en dicha etapa un pK negativo (ej pK=-1, como se muestra en la tabla), lo cual asegura que el algoritmo use todo el proton del acidificante correspondiente a dicha etapa de disociación</t>
        </r>
      </text>
    </comment>
  </commentList>
</comments>
</file>

<file path=xl/comments2.xml><?xml version="1.0" encoding="utf-8"?>
<comments xmlns="http://schemas.openxmlformats.org/spreadsheetml/2006/main">
  <authors>
    <author>Rafael Castillo</author>
  </authors>
  <commentList>
    <comment ref="J14" authorId="0">
      <text>
        <r>
          <rPr>
            <b/>
            <sz val="8"/>
            <rFont val="Tahoma"/>
            <family val="0"/>
          </rPr>
          <t>atecnica@agro-marketing.com</t>
        </r>
        <r>
          <rPr>
            <sz val="8"/>
            <rFont val="Tahoma"/>
            <family val="0"/>
          </rPr>
          <t xml:space="preserve">
</t>
        </r>
        <r>
          <rPr>
            <sz val="8"/>
            <color indexed="12"/>
            <rFont val="Tahoma"/>
            <family val="2"/>
          </rPr>
          <t>Se debe utilizar un pH de referencia que asegure la maxima concentración de H2CO3 (100%)
Algunos autores recomiendan utilizar un pH = 4,3; otros un pH = 2,05; nosotros recomendamos un pH = 0,00
Si el usuario lo desea puede colocar cualquiera de estos valores de pH o algun otro valor que desee probar</t>
        </r>
      </text>
    </comment>
    <comment ref="J10" authorId="0">
      <text>
        <r>
          <rPr>
            <b/>
            <sz val="8"/>
            <rFont val="Tahoma"/>
            <family val="0"/>
          </rPr>
          <t>atecnica@agro-marketing.com:</t>
        </r>
        <r>
          <rPr>
            <sz val="8"/>
            <rFont val="Tahoma"/>
            <family val="0"/>
          </rPr>
          <t xml:space="preserve">
</t>
        </r>
        <r>
          <rPr>
            <sz val="8"/>
            <color indexed="56"/>
            <rFont val="Tahoma"/>
            <family val="2"/>
          </rPr>
          <t xml:space="preserve">Calculo de las fracciones molares de las especies resultantes durante la disociación de un acido poliprotico (ej: H3A) en agua a un pH dado. Se conocen las constantes de equilibrio de la disociación
</t>
        </r>
        <r>
          <rPr>
            <b/>
            <sz val="8"/>
            <color indexed="56"/>
            <rFont val="Tahoma"/>
            <family val="2"/>
          </rPr>
          <t>Del equilibrio químico</t>
        </r>
        <r>
          <rPr>
            <sz val="8"/>
            <color indexed="56"/>
            <rFont val="Tahoma"/>
            <family val="2"/>
          </rPr>
          <t xml:space="preserve">
H3A ---&gt; H2A(-) + H(+)       ==&gt;       Ka1 = [H(+)]*[H2A(-)] / [H3A]      ==&gt;      [H2A(-)] = Ka1*[H3A] / [H(+)]
H2A(-) ---&gt; HA(2-) + H(+)    ==&gt;      Ka2 = [H(+)]*[HA(2-)] / [H2A(-)]   ==&gt;      [HA(2-)] = Ka1*Ka2*[H3A] / [H(+)]^2
HA(2-) ---&gt; A(3-) + H(+)      ==&gt;      Ka3 = [H(+)]*[A(3-)] / [HA(2-)]     ==&gt;      [A(3-)] = Ka1*Ka2*Ka3*[H3A] / [H(+)]^3
</t>
        </r>
        <r>
          <rPr>
            <b/>
            <sz val="8"/>
            <color indexed="56"/>
            <rFont val="Tahoma"/>
            <family val="2"/>
          </rPr>
          <t>Del balance de masas</t>
        </r>
        <r>
          <rPr>
            <sz val="8"/>
            <color indexed="56"/>
            <rFont val="Tahoma"/>
            <family val="2"/>
          </rPr>
          <t xml:space="preserve">
[A] = [H3A] + H2A(-) + HA(2-) + A(3-)  = Concentración molar total de todas las especies que contienen A
[A] = [H3A] +  Ka1*[H3A] / [H(+)] + Ka1*Ka2*[H3A] / [H(+)]^2 + Ka1*Ka2*Ka3*[H3A] / [H(+)]^3
[H3A] = [A]*[H(+)]^3 / ( [H(+)]^3 + Ka1*[H(+)]^2 + Ka1*Ka2*[H(+)] + Ka1*Ka2*Ka3 )
</t>
        </r>
        <r>
          <rPr>
            <b/>
            <sz val="8"/>
            <color indexed="56"/>
            <rFont val="Tahoma"/>
            <family val="2"/>
          </rPr>
          <t>Del pH</t>
        </r>
        <r>
          <rPr>
            <sz val="8"/>
            <color indexed="56"/>
            <rFont val="Tahoma"/>
            <family val="2"/>
          </rPr>
          <t xml:space="preserve">
[H(+)] = 10^(-pH)
</t>
        </r>
        <r>
          <rPr>
            <b/>
            <sz val="8"/>
            <color indexed="56"/>
            <rFont val="Tahoma"/>
            <family val="2"/>
          </rPr>
          <t>Fracciones molares de las especies</t>
        </r>
        <r>
          <rPr>
            <sz val="8"/>
            <color indexed="56"/>
            <rFont val="Tahoma"/>
            <family val="2"/>
          </rPr>
          <t xml:space="preserve">
alfa0 = fracción molar de la especie [H3A] = [H3A] / [A]  = [H(+)]^3 /  ( [H(+)]^3 + Ka1*[H(+)]^2 + Ka1*Ka2*[H(+)] + Ka1*Ka2*Ka3 )
alfa1 = fracción molar de la especie [H2A(-)] = [H2A(-)] / [A] = Ka1* [H(+)]^2 / ( [H(+)]^3 + Ka1*[H(+)]^2 + Ka1*Ka2*[H(+)] + Ka1*Ka2*Ka3 )
alfa2 = fracción molar de la especie [HA(2-)] = [HA(2-)] / [A] = Ka1*Ka2*[H(+)] / ( [H(+)]^3 + Ka1*[H(+)]^2 + Ka1*Ka2*[H(+)] + Ka1*Ka2*Ka3 )
alfa3 = fracción molar de la especie [A(3-)] = [A(3-)] / [A] = Ka1*Ka2*Ka3 / ( [H(+)]^3 + Ka1*[H(+)]^2 + Ka1*Ka2*[H(+)] + Ka1*Ka2*Ka3 )
alfa0 + alfa1 + alfa2 + alfa3 = 1</t>
        </r>
      </text>
    </comment>
    <comment ref="J17" authorId="0">
      <text>
        <r>
          <rPr>
            <b/>
            <sz val="8"/>
            <rFont val="Tahoma"/>
            <family val="0"/>
          </rPr>
          <t>atecnica@agro-marketing.com:</t>
        </r>
        <r>
          <rPr>
            <sz val="8"/>
            <rFont val="Tahoma"/>
            <family val="0"/>
          </rPr>
          <t xml:space="preserve">
</t>
        </r>
        <r>
          <rPr>
            <sz val="8"/>
            <color indexed="56"/>
            <rFont val="Tahoma"/>
            <family val="2"/>
          </rPr>
          <t xml:space="preserve">Calculo de las fracciones molares de las especies resultantes durante la disociación de un acido poliprotico (ej: H3A) en agua a un pH dado. Se conocen las constantes de equilibrio de la disociación
</t>
        </r>
        <r>
          <rPr>
            <b/>
            <sz val="8"/>
            <color indexed="56"/>
            <rFont val="Tahoma"/>
            <family val="2"/>
          </rPr>
          <t>Del equilibrio químico</t>
        </r>
        <r>
          <rPr>
            <sz val="8"/>
            <color indexed="56"/>
            <rFont val="Tahoma"/>
            <family val="2"/>
          </rPr>
          <t xml:space="preserve">
H3A ---&gt; H2A(-) + H(+)       ==&gt;       Ka1 = [H(+)]*[H2A(-)] / [H3A]      ==&gt;      [H2A(-)] = Ka1*[H3A] / [H(+)]
H2A(-) ---&gt; HA(2-) + H(+)    ==&gt;      Ka2 = [H(+)]*[HA(2-)] / [H2A(-)]   ==&gt;      [HA(2-)] = Ka1*Ka2*[H3A] / [H(+)]^2
HA(2-) ---&gt; A(3-) + H(+)      ==&gt;      Ka3 = [H(+)]*[A(3-)] / [HA(2-)]     ==&gt;      [A(3-)] = Ka1*Ka2*Ka3*[H3A] / [H(+)]^3
</t>
        </r>
        <r>
          <rPr>
            <b/>
            <sz val="8"/>
            <color indexed="56"/>
            <rFont val="Tahoma"/>
            <family val="2"/>
          </rPr>
          <t>Del balance de masas</t>
        </r>
        <r>
          <rPr>
            <sz val="8"/>
            <color indexed="56"/>
            <rFont val="Tahoma"/>
            <family val="2"/>
          </rPr>
          <t xml:space="preserve">
[A] = [H3A] + H2A(-) + HA(2-) + A(3-)  = Concentración molar total de todas las especies que contienen A
[A] = [H3A] +  Ka1*[H3A] / [H(+)] + Ka1*Ka2*[H3A] / [H(+)]^2 + Ka1*Ka2*Ka3*[H3A] / [H(+)]^3
[H3A] = [A]*[H(+)]^3 / ( [H(+)]^3 + Ka1*[H(+)]^2 + Ka1*Ka2*[H(+)] + Ka1*Ka2*Ka3 )
</t>
        </r>
        <r>
          <rPr>
            <b/>
            <sz val="8"/>
            <color indexed="56"/>
            <rFont val="Tahoma"/>
            <family val="2"/>
          </rPr>
          <t>Del pH</t>
        </r>
        <r>
          <rPr>
            <sz val="8"/>
            <color indexed="56"/>
            <rFont val="Tahoma"/>
            <family val="2"/>
          </rPr>
          <t xml:space="preserve">
[H(+)] = 10^(-pH)
</t>
        </r>
        <r>
          <rPr>
            <b/>
            <sz val="8"/>
            <color indexed="56"/>
            <rFont val="Tahoma"/>
            <family val="2"/>
          </rPr>
          <t>Fracciones molares de las especies</t>
        </r>
        <r>
          <rPr>
            <sz val="8"/>
            <color indexed="56"/>
            <rFont val="Tahoma"/>
            <family val="2"/>
          </rPr>
          <t xml:space="preserve">
alfa0 = fracción molar de la especie [H3A] = [H3A] / [A]  = [H(+)]^3 /  ( [H(+)]^3 + Ka1*[H(+)]^2 + Ka1*Ka2*[H(+)] + Ka1*Ka2*Ka3 )
alfa1 = fracción molar de la especie [H2A(-)] = [H2A(-)] / [A] = Ka1* [H(+)]^2 / ( [H(+)]^3 + Ka1*[H(+)]^2 + Ka1*Ka2*[H(+)] + Ka1*Ka2*Ka3 )
alfa2 = fracción molar de la especie [HA(2-)] = [HA(2-)] / [A] = Ka1*Ka2*[H(+)] / ( [H(+)]^3 + Ka1*[H(+)]^2 + Ka1*Ka2*[H(+)] + Ka1*Ka2*Ka3 )
alfa3 = fracción molar de la especie [A(3-)] = [A(3-)] / [A] = Ka1*Ka2*Ka3 / ( [H(+)]^3 + Ka1*[H(+)]^2 + Ka1*Ka2*[H(+)] + Ka1*Ka2*Ka3 )
alfa0 + alfa1 + alfa2 + alfa3 = 1</t>
        </r>
      </text>
    </comment>
    <comment ref="J32" authorId="0">
      <text>
        <r>
          <rPr>
            <b/>
            <sz val="8"/>
            <rFont val="Tahoma"/>
            <family val="0"/>
          </rPr>
          <t>atecnica@agro-marketing.com:</t>
        </r>
        <r>
          <rPr>
            <sz val="8"/>
            <rFont val="Tahoma"/>
            <family val="0"/>
          </rPr>
          <t xml:space="preserve">
</t>
        </r>
        <r>
          <rPr>
            <sz val="8"/>
            <color indexed="56"/>
            <rFont val="Tahoma"/>
            <family val="2"/>
          </rPr>
          <t xml:space="preserve">Calculo de las fracciones molares de las especies resultantes durante la disociación de un acido poliprotico (ej: H3A) en agua a un pH dado. Se conocen las constantes de equilibrio de la disociación
</t>
        </r>
        <r>
          <rPr>
            <b/>
            <sz val="8"/>
            <color indexed="56"/>
            <rFont val="Tahoma"/>
            <family val="2"/>
          </rPr>
          <t>Del equilibrio químico</t>
        </r>
        <r>
          <rPr>
            <sz val="8"/>
            <color indexed="56"/>
            <rFont val="Tahoma"/>
            <family val="2"/>
          </rPr>
          <t xml:space="preserve">
H3A ---&gt; H2A(-) + H(+)       ==&gt;       Ka1 = [H(+)]*[H2A(-)] / [H3A]      ==&gt;      [H2A(-)] = Ka1*[H3A] / [H(+)]
H2A(-) ---&gt; HA(2-) + H(+)    ==&gt;      Ka2 = [H(+)]*[HA(2-)] / [H2A(-)]   ==&gt;      [HA(2-)] = Ka1*Ka2*[H3A] / [H(+)]^2
HA(2-) ---&gt; A(3-) + H(+)      ==&gt;      Ka3 = [H(+)]*[A(3-)] / [HA(2-)]     ==&gt;      [A(3-)] = Ka1*Ka2*Ka3*[H3A] / [H(+)]^3
</t>
        </r>
        <r>
          <rPr>
            <b/>
            <sz val="8"/>
            <color indexed="56"/>
            <rFont val="Tahoma"/>
            <family val="2"/>
          </rPr>
          <t>Del balance de masas</t>
        </r>
        <r>
          <rPr>
            <sz val="8"/>
            <color indexed="56"/>
            <rFont val="Tahoma"/>
            <family val="2"/>
          </rPr>
          <t xml:space="preserve">
[A] = [H3A] + H2A(-) + HA(2-) + A(3-)  = Concentración molar total de todas las especies que contienen A
[A] = [H3A] +  Ka1*[H3A] / [H(+)] + Ka1*Ka2*[H3A] / [H(+)]^2 + Ka1*Ka2*Ka3*[H3A] / [H(+)]^3
[H3A] = [A]*[H(+)]^3 / ( [H(+)]^3 + Ka1*[H(+)]^2 + Ka1*Ka2*[H(+)] + Ka1*Ka2*Ka3 )
</t>
        </r>
        <r>
          <rPr>
            <b/>
            <sz val="8"/>
            <color indexed="56"/>
            <rFont val="Tahoma"/>
            <family val="2"/>
          </rPr>
          <t>Del pH</t>
        </r>
        <r>
          <rPr>
            <sz val="8"/>
            <color indexed="56"/>
            <rFont val="Tahoma"/>
            <family val="2"/>
          </rPr>
          <t xml:space="preserve">
[H(+)] = 10^(-pH)
</t>
        </r>
        <r>
          <rPr>
            <b/>
            <sz val="8"/>
            <color indexed="56"/>
            <rFont val="Tahoma"/>
            <family val="2"/>
          </rPr>
          <t>Fracciones molares de las especies</t>
        </r>
        <r>
          <rPr>
            <sz val="8"/>
            <color indexed="56"/>
            <rFont val="Tahoma"/>
            <family val="2"/>
          </rPr>
          <t xml:space="preserve">
alfa0 = fracción molar de la especie [H3A] = [H3A] / [A]  = [H(+)]^3 /  ( [H(+)]^3 + Ka1*[H(+)]^2 + Ka1*Ka2*[H(+)] + Ka1*Ka2*Ka3 )
alfa1 = fracción molar de la especie [H2A(-)] = [H2A(-)] / [A] = Ka1* [H(+)]^2 / ( [H(+)]^3 + Ka1*[H(+)]^2 + Ka1*Ka2*[H(+)] + Ka1*Ka2*Ka3 )
alfa2 = fracción molar de la especie [HA(2-)] = [HA(2-)] / [A] = Ka1*Ka2*[H(+)] / ( [H(+)]^3 + Ka1*[H(+)]^2 + Ka1*Ka2*[H(+)] + Ka1*Ka2*Ka3 )
alfa3 = fracción molar de la especie [A(3-)] = [A(3-)] / [A] = Ka1*Ka2*Ka3 / ( [H(+)]^3 + Ka1*[H(+)]^2 + Ka1*Ka2*[H(+)] + Ka1*Ka2*Ka3 )
alfa0 + alfa1 + alfa2 + alfa3 = 1</t>
        </r>
      </text>
    </comment>
    <comment ref="J21" authorId="0">
      <text>
        <r>
          <rPr>
            <b/>
            <sz val="8"/>
            <rFont val="Tahoma"/>
            <family val="0"/>
          </rPr>
          <t xml:space="preserve">atecnica@agro-marketing.com:
</t>
        </r>
        <r>
          <rPr>
            <b/>
            <sz val="8"/>
            <color indexed="56"/>
            <rFont val="Tahoma"/>
            <family val="2"/>
          </rPr>
          <t>Balance molar de la acidificación
Inicial ----------------------------------------------------&gt;  Final</t>
        </r>
        <r>
          <rPr>
            <sz val="8"/>
            <color indexed="56"/>
            <rFont val="Tahoma"/>
            <family val="2"/>
          </rPr>
          <t xml:space="preserve">
 a H2CO3 --------------------------------------------------------------&gt;  a  H2CO3
 b HCO3 + b H --------------------------------------------------------&gt;  b  H2CO3
 c HCO3   --------------------------------------------------------------&gt;  c  HCO3
 d CO3 + d H ----------------&gt;  e HCO3 + e H  --------------------&gt;  e  H2CO3
                                                 f HCO3    --------------------------&gt;  f  HCO3
 g CO3     --------------------------------------------------------------&gt;  g  CO3
</t>
        </r>
        <r>
          <rPr>
            <b/>
            <sz val="8"/>
            <color indexed="56"/>
            <rFont val="Tahoma"/>
            <family val="2"/>
          </rPr>
          <t xml:space="preserve"> [H]</t>
        </r>
        <r>
          <rPr>
            <sz val="8"/>
            <color indexed="56"/>
            <rFont val="Tahoma"/>
            <family val="2"/>
          </rPr>
          <t xml:space="preserve"> = b + d + e
 (H2CO3 final- H2CO3 inicial) + (CO3 inicial - CO3 final) = b + e +d =</t>
        </r>
        <r>
          <rPr>
            <b/>
            <sz val="8"/>
            <color indexed="56"/>
            <rFont val="Tahoma"/>
            <family val="2"/>
          </rPr>
          <t xml:space="preserve"> [H]</t>
        </r>
        <r>
          <rPr>
            <sz val="8"/>
            <color indexed="56"/>
            <rFont val="Tahoma"/>
            <family val="2"/>
          </rPr>
          <t xml:space="preserve">
(HCO3 inicial - HCO3 final) + 2*(CO3 inicial - CO3 final) = b + e + d =</t>
        </r>
        <r>
          <rPr>
            <b/>
            <sz val="8"/>
            <color indexed="56"/>
            <rFont val="Tahoma"/>
            <family val="2"/>
          </rPr>
          <t xml:space="preserve"> [H]</t>
        </r>
      </text>
    </comment>
  </commentList>
</comments>
</file>

<file path=xl/sharedStrings.xml><?xml version="1.0" encoding="utf-8"?>
<sst xmlns="http://schemas.openxmlformats.org/spreadsheetml/2006/main" count="171" uniqueCount="149">
  <si>
    <t xml:space="preserve"> </t>
  </si>
  <si>
    <t xml:space="preserve">pH = </t>
  </si>
  <si>
    <t>meq</t>
  </si>
  <si>
    <t>pH</t>
  </si>
  <si>
    <t>ppm HCO3</t>
  </si>
  <si>
    <t>ppm CaCO3</t>
  </si>
  <si>
    <t>Constante de disociación del primer protón Ka1</t>
  </si>
  <si>
    <t>Constante de disociación del segundo protón Ka2</t>
  </si>
  <si>
    <t>pK1</t>
  </si>
  <si>
    <t>pK2</t>
  </si>
  <si>
    <t>pK3</t>
  </si>
  <si>
    <t>Pureza %</t>
  </si>
  <si>
    <t>Densidad g/ml</t>
  </si>
  <si>
    <t>K1</t>
  </si>
  <si>
    <t>K2</t>
  </si>
  <si>
    <t>Instrucciones</t>
  </si>
  <si>
    <t>Alcalímetro</t>
  </si>
  <si>
    <t>www.agro-marketing.com</t>
  </si>
  <si>
    <t>Nota 1</t>
  </si>
  <si>
    <t>Información de la muestra de agua</t>
  </si>
  <si>
    <t>pH de la muestra:</t>
  </si>
  <si>
    <t>En agua destilada</t>
  </si>
  <si>
    <t>Alcalinidad de la muestra:</t>
  </si>
  <si>
    <t>pH inicial del agua</t>
  </si>
  <si>
    <t>Punto final deseado:</t>
  </si>
  <si>
    <t>pH final del agua</t>
  </si>
  <si>
    <t>Nota 2</t>
  </si>
  <si>
    <t>Resultados</t>
  </si>
  <si>
    <t>Alcalinidad inicial</t>
  </si>
  <si>
    <t>meq/litro:</t>
  </si>
  <si>
    <t>URFOS 44 (17%N - 44%P2O5)</t>
  </si>
  <si>
    <t>Necesario para corregir alcalinidad</t>
  </si>
  <si>
    <t>gramos por litro de agua</t>
  </si>
  <si>
    <t>Alcalinidad final</t>
  </si>
  <si>
    <t>gramos por 100 litros de agua</t>
  </si>
  <si>
    <t>Nutriente añadido</t>
  </si>
  <si>
    <t>P+N</t>
  </si>
  <si>
    <t>ppm</t>
  </si>
  <si>
    <t>Otros productos para corregir alcalinidad</t>
  </si>
  <si>
    <t>Acido Fosforico</t>
  </si>
  <si>
    <t>Acido Sulfurico</t>
  </si>
  <si>
    <t>Acido Nitrico</t>
  </si>
  <si>
    <t>( 60-62%P2O5 )</t>
  </si>
  <si>
    <t>( 93%-96% )</t>
  </si>
  <si>
    <t>( 66%-68% )</t>
  </si>
  <si>
    <t>ml por litro de agua</t>
  </si>
  <si>
    <t>ml por 100 litros de agua</t>
  </si>
  <si>
    <t>P</t>
  </si>
  <si>
    <t>S</t>
  </si>
  <si>
    <t>N</t>
  </si>
  <si>
    <t>Nitrico</t>
  </si>
  <si>
    <t>Sulfurico</t>
  </si>
  <si>
    <t>meq/litro</t>
  </si>
  <si>
    <t>%H3PO4 (calculado por el dato de %P2O5)</t>
  </si>
  <si>
    <t>pH (calculado por el dato de %P2O5 para el acido puro)</t>
  </si>
  <si>
    <t>[H+] (mol/litro)   (dado por el dato de %P2O5)</t>
  </si>
  <si>
    <t>Constante de disociación del tercer protón Ka3</t>
  </si>
  <si>
    <t>%P2O5</t>
  </si>
  <si>
    <r>
      <t>URFOS</t>
    </r>
    <r>
      <rPr>
        <b/>
        <sz val="18"/>
        <rFont val="Antique Olive"/>
        <family val="2"/>
      </rPr>
      <t xml:space="preserve"> 44</t>
    </r>
  </si>
  <si>
    <r>
      <t>ppm de HCO</t>
    </r>
    <r>
      <rPr>
        <b/>
        <vertAlign val="subscript"/>
        <sz val="10"/>
        <rFont val="Arial"/>
        <family val="2"/>
      </rPr>
      <t>3</t>
    </r>
    <r>
      <rPr>
        <b/>
        <sz val="10"/>
        <rFont val="Arial"/>
        <family val="2"/>
      </rPr>
      <t>:</t>
    </r>
  </si>
  <si>
    <r>
      <t>ppm de CaCO</t>
    </r>
    <r>
      <rPr>
        <b/>
        <vertAlign val="subscript"/>
        <sz val="10"/>
        <rFont val="Arial"/>
        <family val="2"/>
      </rPr>
      <t>3</t>
    </r>
    <r>
      <rPr>
        <b/>
        <sz val="10"/>
        <rFont val="Arial"/>
        <family val="2"/>
      </rPr>
      <t>:</t>
    </r>
  </si>
  <si>
    <r>
      <t>Grado de neutralización del HCO</t>
    </r>
    <r>
      <rPr>
        <b/>
        <vertAlign val="subscript"/>
        <sz val="10"/>
        <rFont val="Arial"/>
        <family val="2"/>
      </rPr>
      <t>3</t>
    </r>
    <r>
      <rPr>
        <b/>
        <sz val="10"/>
        <rFont val="Arial"/>
        <family val="2"/>
      </rPr>
      <t>:</t>
    </r>
  </si>
  <si>
    <t>K3</t>
  </si>
  <si>
    <t>PM (mg/mMol)</t>
  </si>
  <si>
    <t>Alcalinidad a neutralizar, meq/l (m mol H+/lt)</t>
  </si>
  <si>
    <t>mM acido requerido (mMol/lt)</t>
  </si>
  <si>
    <t>Alcalinidad final meq/l</t>
  </si>
  <si>
    <t>[H+] (mol/litro) final</t>
  </si>
  <si>
    <r>
      <t>0</t>
    </r>
    <r>
      <rPr>
        <sz val="10"/>
        <rFont val="Arial"/>
        <family val="2"/>
      </rPr>
      <t>-1</t>
    </r>
  </si>
  <si>
    <r>
      <t>1</t>
    </r>
    <r>
      <rPr>
        <sz val="10"/>
        <rFont val="Arial"/>
        <family val="2"/>
      </rPr>
      <t>-2</t>
    </r>
  </si>
  <si>
    <r>
      <t>2</t>
    </r>
    <r>
      <rPr>
        <sz val="10"/>
        <rFont val="Arial"/>
        <family val="2"/>
      </rPr>
      <t>-3</t>
    </r>
  </si>
  <si>
    <r>
      <t>ppm HCO</t>
    </r>
    <r>
      <rPr>
        <sz val="7"/>
        <color indexed="56"/>
        <rFont val="Arial"/>
        <family val="2"/>
      </rPr>
      <t>3</t>
    </r>
  </si>
  <si>
    <r>
      <t>3</t>
    </r>
    <r>
      <rPr>
        <sz val="10"/>
        <rFont val="Arial"/>
        <family val="2"/>
      </rPr>
      <t>-4</t>
    </r>
  </si>
  <si>
    <r>
      <t>ppm CaCO</t>
    </r>
    <r>
      <rPr>
        <sz val="7"/>
        <color indexed="56"/>
        <rFont val="Arial"/>
        <family val="2"/>
      </rPr>
      <t>3</t>
    </r>
  </si>
  <si>
    <t>Suma de especies</t>
  </si>
  <si>
    <t>Densidad mg/ml</t>
  </si>
  <si>
    <t>ml acido requerido (ml por litro)</t>
  </si>
  <si>
    <t>meq total</t>
  </si>
  <si>
    <t>Inicial</t>
  </si>
  <si>
    <t>Final</t>
  </si>
  <si>
    <t>H3PO4</t>
  </si>
  <si>
    <t>mg de acido requerido (mg/lt)</t>
  </si>
  <si>
    <t>Pureza (%)</t>
  </si>
  <si>
    <t>gr / litro de agua</t>
  </si>
  <si>
    <t>ml / litro de agua</t>
  </si>
  <si>
    <t>total ppm HCO3</t>
  </si>
  <si>
    <t>total ppm CaCO3</t>
  </si>
  <si>
    <t>¿cuanto es el pH dado como dato?</t>
  </si>
  <si>
    <t>pH para calculo de acidificación</t>
  </si>
  <si>
    <t>¿se da como dato el pH final?</t>
  </si>
  <si>
    <t>Variación</t>
  </si>
  <si>
    <t>mg/l de nutriente añadido</t>
  </si>
  <si>
    <t>Peso Mol. (g/mol)</t>
  </si>
  <si>
    <t>Densidad (g/ml)</t>
  </si>
  <si>
    <t>Alcalinidad inicial meq/l</t>
  </si>
  <si>
    <t>Acidificación</t>
  </si>
  <si>
    <t>pH inicial dado como dato</t>
  </si>
  <si>
    <t>Valor de tanteo de la alcalinidad a neutralizar</t>
  </si>
  <si>
    <t>Acidificante</t>
  </si>
  <si>
    <t>Cantidad de acidificante</t>
  </si>
  <si>
    <r>
      <t>ppm HCO</t>
    </r>
    <r>
      <rPr>
        <b/>
        <sz val="7"/>
        <rFont val="Arial"/>
        <family val="2"/>
      </rPr>
      <t>3</t>
    </r>
  </si>
  <si>
    <r>
      <t>ppm CaCO</t>
    </r>
    <r>
      <rPr>
        <b/>
        <sz val="7"/>
        <rFont val="Arial"/>
        <family val="2"/>
      </rPr>
      <t>3</t>
    </r>
  </si>
  <si>
    <t>Densidad  del H3PO4 a 20C  (kg/l)</t>
  </si>
  <si>
    <t>[P] (mol/kg)</t>
  </si>
  <si>
    <t>masa de UF en agua g/l</t>
  </si>
  <si>
    <t>%P2O5 de solución UF</t>
  </si>
  <si>
    <t>P (mol/l) de solución UF</t>
  </si>
  <si>
    <t>H3PO4 (g/litro) de solución UF</t>
  </si>
  <si>
    <t>Nota 3</t>
  </si>
  <si>
    <t>Cambio de alcalinidad muestra inicial-referencia, fracción molar</t>
  </si>
  <si>
    <t>H2CO3,  Alfa-0, fracción molar  inicial</t>
  </si>
  <si>
    <t>HCO3(-), Alfa-1, fracción molar  inicial</t>
  </si>
  <si>
    <t>CO3(2-), Alfa-2, fracción molar  inicial</t>
  </si>
  <si>
    <t>H2CO3,  Alfa-0, fracción molar  referencia</t>
  </si>
  <si>
    <t>HCO3(-), Alfa-1, fracción molar  referencia</t>
  </si>
  <si>
    <t>CO3(2-), Alfa-2, fracción molar  referencia</t>
  </si>
  <si>
    <t>H2CO3,  Alfa-0, fracción molar  final</t>
  </si>
  <si>
    <t>HCO3(-), Alfa-1, fracción molar  final</t>
  </si>
  <si>
    <t>CO3(2-), Alfa-2, fracción molar  final</t>
  </si>
  <si>
    <t>Consumo de protones por la variación de pH del agua (mMol/l)</t>
  </si>
  <si>
    <t xml:space="preserve">Concentración de protones del agua al pH final  [H+] (mol/litro) </t>
  </si>
  <si>
    <t>Fracción molar especie no disociada,  Alfa-0, al pH final del agua</t>
  </si>
  <si>
    <t>Fracción molar especie disociada  Alfa-1, al pH final del agua</t>
  </si>
  <si>
    <t>Fracción molar especie disociada Alfa-2, al pH final del agua</t>
  </si>
  <si>
    <t>Fracción molar especie disociada Alfa-3, al pH final del agua</t>
  </si>
  <si>
    <t>pH final deseado del agua</t>
  </si>
  <si>
    <t>Frac (meq/mol) (m mol H+ / m mol acidificante)</t>
  </si>
  <si>
    <t>[H+] (mol/litro) del agua al pH inicial</t>
  </si>
  <si>
    <t>[H+] (mol/litro) del agua al pH de referencia</t>
  </si>
  <si>
    <t>pH final calculado por tanteo (el valor inicial de tanteo es 7,0)</t>
  </si>
  <si>
    <t>Alcalinidad (meq/l) de la muestra inicial</t>
  </si>
  <si>
    <t>Relación entre alcalinidad/concentración, (meq/l)/(fraccion molar)</t>
  </si>
  <si>
    <t>Cambio de alcalinidad muestra inicial-final, fracción molar</t>
  </si>
  <si>
    <t>Calculos para la Urea-Fosfato en agua destilada</t>
  </si>
  <si>
    <t>Constantes de equilibrio para Urea-Fosfato en agua</t>
  </si>
  <si>
    <t>Constantes de equilibrio para el acido carbonico en agua</t>
  </si>
  <si>
    <t>Ka1 (H2CO3 ---&gt; HCO3)</t>
  </si>
  <si>
    <t>Ka2  (HCO3 ---&gt; CO3)</t>
  </si>
  <si>
    <t>¿se calcula el pH final por tanteo?</t>
  </si>
  <si>
    <r>
      <t>Inicio</t>
    </r>
    <r>
      <rPr>
        <sz val="10"/>
        <rFont val="Arial"/>
        <family val="2"/>
      </rPr>
      <t>-Final</t>
    </r>
  </si>
  <si>
    <t>Inicio</t>
  </si>
  <si>
    <t>pH referencia (en donde H2CO3 = 100%)</t>
  </si>
  <si>
    <t>Metodo de tanteo</t>
  </si>
  <si>
    <t>J40</t>
  </si>
  <si>
    <t>J38</t>
  </si>
  <si>
    <t>J29</t>
  </si>
  <si>
    <t>Definir la celda</t>
  </si>
  <si>
    <t>Con el valor de</t>
  </si>
  <si>
    <t>Cambiando la celda</t>
  </si>
</sst>
</file>

<file path=xl/styles.xml><?xml version="1.0" encoding="utf-8"?>
<styleSheet xmlns="http://schemas.openxmlformats.org/spreadsheetml/2006/main">
  <numFmts count="44">
    <numFmt numFmtId="5" formatCode="&quot;Bs&quot;\ #,##0_);\(&quot;Bs&quot;\ #,##0\)"/>
    <numFmt numFmtId="6" formatCode="&quot;Bs&quot;\ #,##0_);[Red]\(&quot;Bs&quot;\ #,##0\)"/>
    <numFmt numFmtId="7" formatCode="&quot;Bs&quot;\ #,##0.00_);\(&quot;Bs&quot;\ #,##0.00\)"/>
    <numFmt numFmtId="8" formatCode="&quot;Bs&quot;\ #,##0.00_);[Red]\(&quot;Bs&quot;\ #,##0.00\)"/>
    <numFmt numFmtId="42" formatCode="_(&quot;Bs&quot;\ * #,##0_);_(&quot;Bs&quot;\ * \(#,##0\);_(&quot;Bs&quot;\ * &quot;-&quot;_);_(@_)"/>
    <numFmt numFmtId="41" formatCode="_(* #,##0_);_(* \(#,##0\);_(* &quot;-&quot;_);_(@_)"/>
    <numFmt numFmtId="44" formatCode="_(&quot;Bs&quot;\ * #,##0.00_);_(&quot;Bs&quot;\ * \(#,##0.00\);_(&quot;Bs&quot;\ * &quot;-&quot;??_);_(@_)"/>
    <numFmt numFmtId="43" formatCode="_(* #,##0.00_);_(* \(#,##0.00\);_(* &quot;-&quot;??_);_(@_)"/>
    <numFmt numFmtId="164" formatCode="&quot;$&quot;#,##0_);[Red]\(&quot;$&quot;#,##0\)"/>
    <numFmt numFmtId="165" formatCode="&quot;$&quot;#,##0.00_);\(&quot;$&quot;#,##0.00\)"/>
    <numFmt numFmtId="166" formatCode="&quot;$&quot;#,##0.00_);[Red]\(&quot;$&quot;#,##0.00\)"/>
    <numFmt numFmtId="167" formatCode="0.000"/>
    <numFmt numFmtId="168" formatCode="0.0"/>
    <numFmt numFmtId="169" formatCode="0.00000000"/>
    <numFmt numFmtId="170" formatCode="0.0000"/>
    <numFmt numFmtId="171" formatCode="0.0%"/>
    <numFmt numFmtId="172" formatCode="0.000%"/>
    <numFmt numFmtId="173" formatCode="0.00000"/>
    <numFmt numFmtId="174" formatCode="0.000000"/>
    <numFmt numFmtId="175" formatCode="0.0000%"/>
    <numFmt numFmtId="176" formatCode="#,##0.000"/>
    <numFmt numFmtId="177" formatCode="#,##0.0000"/>
    <numFmt numFmtId="178" formatCode="#,##0.0"/>
    <numFmt numFmtId="179" formatCode="0.000E+00"/>
    <numFmt numFmtId="180" formatCode="0.0000E+00"/>
    <numFmt numFmtId="181" formatCode="&quot;pH  medido      ( &quot;\ #,##0\ &quot; )&quot;"/>
    <numFmt numFmtId="182" formatCode="&quot;%P2O5 del H3PO4      ( &quot;#,##0\ &quot; )&quot;"/>
    <numFmt numFmtId="183" formatCode="0.00.E+00"/>
    <numFmt numFmtId="184" formatCode="0.000.E+00"/>
    <numFmt numFmtId="185" formatCode="0.000\ &quot;g/litro&quot;"/>
    <numFmt numFmtId="186" formatCode="#,##0\ &quot;ppm&quot;"/>
    <numFmt numFmtId="187" formatCode="&quot;% del H2CO3      ( &quot;#,##0\ &quot; )&quot;"/>
    <numFmt numFmtId="188" formatCode="0.00000%"/>
    <numFmt numFmtId="189" formatCode="#,##0.00000"/>
    <numFmt numFmtId="190" formatCode="0.000000%"/>
    <numFmt numFmtId="191" formatCode="0.0000000%"/>
    <numFmt numFmtId="192" formatCode="0.0000000"/>
    <numFmt numFmtId="193" formatCode="#,##0.000000"/>
    <numFmt numFmtId="194" formatCode="0.0E+00"/>
    <numFmt numFmtId="195" formatCode="#,##0.0000000"/>
    <numFmt numFmtId="196" formatCode="#,##0.00000000"/>
    <numFmt numFmtId="197" formatCode="#,##0.000000000"/>
    <numFmt numFmtId="198" formatCode="0.000000000"/>
    <numFmt numFmtId="199" formatCode="0.0000000000"/>
  </numFmts>
  <fonts count="52">
    <font>
      <sz val="10"/>
      <name val="Geneva"/>
      <family val="0"/>
    </font>
    <font>
      <b/>
      <sz val="10"/>
      <name val="Geneva"/>
      <family val="0"/>
    </font>
    <font>
      <i/>
      <sz val="10"/>
      <name val="Geneva"/>
      <family val="0"/>
    </font>
    <font>
      <b/>
      <i/>
      <sz val="10"/>
      <name val="Geneva"/>
      <family val="0"/>
    </font>
    <font>
      <b/>
      <sz val="12"/>
      <name val="Tms Rmn"/>
      <family val="0"/>
    </font>
    <font>
      <sz val="12"/>
      <name val="Tms Rmn"/>
      <family val="0"/>
    </font>
    <font>
      <sz val="10"/>
      <name val="Tms Rmn"/>
      <family val="0"/>
    </font>
    <font>
      <b/>
      <sz val="10"/>
      <name val="Tms Rmn"/>
      <family val="0"/>
    </font>
    <font>
      <sz val="9"/>
      <name val="Courier"/>
      <family val="0"/>
    </font>
    <font>
      <sz val="10"/>
      <name val="Helv"/>
      <family val="0"/>
    </font>
    <font>
      <b/>
      <sz val="10"/>
      <color indexed="10"/>
      <name val="Helv"/>
      <family val="0"/>
    </font>
    <font>
      <sz val="10"/>
      <color indexed="10"/>
      <name val="Geneva"/>
      <family val="0"/>
    </font>
    <font>
      <b/>
      <sz val="20"/>
      <name val="Arial"/>
      <family val="2"/>
    </font>
    <font>
      <b/>
      <sz val="10"/>
      <color indexed="9"/>
      <name val="Arial"/>
      <family val="2"/>
    </font>
    <font>
      <b/>
      <sz val="24"/>
      <name val="Arial"/>
      <family val="2"/>
    </font>
    <font>
      <b/>
      <sz val="12"/>
      <name val="Arial"/>
      <family val="2"/>
    </font>
    <font>
      <b/>
      <sz val="18"/>
      <name val="Antique Olive"/>
      <family val="2"/>
    </font>
    <font>
      <b/>
      <sz val="18"/>
      <color indexed="17"/>
      <name val="Antique Olive"/>
      <family val="2"/>
    </font>
    <font>
      <sz val="10"/>
      <name val="Arial"/>
      <family val="2"/>
    </font>
    <font>
      <b/>
      <sz val="10"/>
      <name val="Arial"/>
      <family val="2"/>
    </font>
    <font>
      <b/>
      <sz val="10"/>
      <color indexed="10"/>
      <name val="Arial"/>
      <family val="2"/>
    </font>
    <font>
      <b/>
      <sz val="10"/>
      <color indexed="9"/>
      <name val="Tms Rmn"/>
      <family val="0"/>
    </font>
    <font>
      <b/>
      <sz val="11"/>
      <name val="Arial"/>
      <family val="2"/>
    </font>
    <font>
      <b/>
      <vertAlign val="subscript"/>
      <sz val="10"/>
      <name val="Arial"/>
      <family val="2"/>
    </font>
    <font>
      <b/>
      <sz val="10"/>
      <name val="Tahoma"/>
      <family val="2"/>
    </font>
    <font>
      <sz val="8"/>
      <name val="Tahoma"/>
      <family val="0"/>
    </font>
    <font>
      <sz val="10"/>
      <color indexed="12"/>
      <name val="Arial"/>
      <family val="2"/>
    </font>
    <font>
      <b/>
      <sz val="10"/>
      <color indexed="8"/>
      <name val="Arial"/>
      <family val="2"/>
    </font>
    <font>
      <b/>
      <sz val="10"/>
      <color indexed="17"/>
      <name val="Arial"/>
      <family val="2"/>
    </font>
    <font>
      <b/>
      <sz val="10"/>
      <color indexed="12"/>
      <name val="Arial"/>
      <family val="2"/>
    </font>
    <font>
      <b/>
      <sz val="10"/>
      <color indexed="58"/>
      <name val="Arial"/>
      <family val="2"/>
    </font>
    <font>
      <b/>
      <sz val="8"/>
      <name val="Tahoma"/>
      <family val="0"/>
    </font>
    <font>
      <u val="single"/>
      <sz val="7.5"/>
      <color indexed="12"/>
      <name val="Geneva"/>
      <family val="0"/>
    </font>
    <font>
      <u val="single"/>
      <sz val="7.5"/>
      <color indexed="36"/>
      <name val="Geneva"/>
      <family val="0"/>
    </font>
    <font>
      <sz val="10"/>
      <color indexed="8"/>
      <name val="Geneva"/>
      <family val="0"/>
    </font>
    <font>
      <sz val="10"/>
      <color indexed="12"/>
      <name val="Geneva"/>
      <family val="0"/>
    </font>
    <font>
      <sz val="10"/>
      <color indexed="56"/>
      <name val="Arial"/>
      <family val="2"/>
    </font>
    <font>
      <u val="single"/>
      <sz val="10"/>
      <color indexed="56"/>
      <name val="Arial"/>
      <family val="2"/>
    </font>
    <font>
      <u val="single"/>
      <sz val="10"/>
      <name val="Arial"/>
      <family val="2"/>
    </font>
    <font>
      <sz val="9"/>
      <color indexed="56"/>
      <name val="Arial"/>
      <family val="2"/>
    </font>
    <font>
      <sz val="7"/>
      <color indexed="56"/>
      <name val="Arial"/>
      <family val="2"/>
    </font>
    <font>
      <sz val="9"/>
      <name val="Arial"/>
      <family val="2"/>
    </font>
    <font>
      <b/>
      <sz val="9"/>
      <name val="Arial"/>
      <family val="2"/>
    </font>
    <font>
      <b/>
      <sz val="7"/>
      <name val="Arial"/>
      <family val="2"/>
    </font>
    <font>
      <b/>
      <sz val="9"/>
      <color indexed="12"/>
      <name val="Arial"/>
      <family val="2"/>
    </font>
    <font>
      <sz val="9"/>
      <color indexed="12"/>
      <name val="Arial"/>
      <family val="2"/>
    </font>
    <font>
      <b/>
      <sz val="8"/>
      <color indexed="56"/>
      <name val="Tahoma"/>
      <family val="2"/>
    </font>
    <font>
      <b/>
      <sz val="8"/>
      <color indexed="10"/>
      <name val="Tahoma"/>
      <family val="2"/>
    </font>
    <font>
      <b/>
      <sz val="10"/>
      <color indexed="10"/>
      <name val="Geneva"/>
      <family val="0"/>
    </font>
    <font>
      <sz val="8"/>
      <color indexed="12"/>
      <name val="Tahoma"/>
      <family val="2"/>
    </font>
    <font>
      <sz val="8"/>
      <color indexed="56"/>
      <name val="Tahoma"/>
      <family val="2"/>
    </font>
    <font>
      <b/>
      <sz val="8"/>
      <name val="Geneva"/>
      <family val="2"/>
    </font>
  </fonts>
  <fills count="10">
    <fill>
      <patternFill/>
    </fill>
    <fill>
      <patternFill patternType="gray125"/>
    </fill>
    <fill>
      <patternFill patternType="gray125">
        <fgColor indexed="8"/>
      </patternFill>
    </fill>
    <fill>
      <patternFill patternType="solid">
        <fgColor indexed="47"/>
        <bgColor indexed="64"/>
      </patternFill>
    </fill>
    <fill>
      <patternFill patternType="solid">
        <fgColor indexed="26"/>
        <bgColor indexed="64"/>
      </patternFill>
    </fill>
    <fill>
      <patternFill patternType="solid">
        <fgColor indexed="22"/>
        <bgColor indexed="64"/>
      </patternFill>
    </fill>
    <fill>
      <patternFill patternType="solid">
        <fgColor indexed="21"/>
        <bgColor indexed="64"/>
      </patternFill>
    </fill>
    <fill>
      <patternFill patternType="solid">
        <fgColor indexed="42"/>
        <bgColor indexed="64"/>
      </patternFill>
    </fill>
    <fill>
      <patternFill patternType="solid">
        <fgColor indexed="25"/>
        <bgColor indexed="64"/>
      </patternFill>
    </fill>
    <fill>
      <patternFill patternType="solid">
        <fgColor indexed="18"/>
        <bgColor indexed="64"/>
      </patternFill>
    </fill>
  </fills>
  <borders count="40">
    <border>
      <left/>
      <right/>
      <top/>
      <bottom/>
      <diagonal/>
    </border>
    <border>
      <left style="medium"/>
      <right>
        <color indexed="63"/>
      </right>
      <top>
        <color indexed="63"/>
      </top>
      <bottom>
        <color indexed="63"/>
      </bottom>
    </border>
    <border>
      <left>
        <color indexed="63"/>
      </left>
      <right>
        <color indexed="63"/>
      </right>
      <top>
        <color indexed="63"/>
      </top>
      <bottom style="medium"/>
    </border>
    <border>
      <left style="medium"/>
      <right style="medium"/>
      <top>
        <color indexed="63"/>
      </top>
      <bottom>
        <color indexed="63"/>
      </bottom>
    </border>
    <border>
      <left style="medium"/>
      <right style="medium"/>
      <top style="medium"/>
      <bottom style="medium"/>
    </border>
    <border>
      <left style="medium"/>
      <right style="medium"/>
      <top>
        <color indexed="63"/>
      </top>
      <bottom style="medium"/>
    </border>
    <border>
      <left>
        <color indexed="63"/>
      </left>
      <right style="medium"/>
      <top>
        <color indexed="63"/>
      </top>
      <bottom>
        <color indexed="63"/>
      </bottom>
    </border>
    <border>
      <left style="medium"/>
      <right style="thin"/>
      <top>
        <color indexed="63"/>
      </top>
      <bottom style="thin"/>
    </border>
    <border>
      <left style="medium"/>
      <right style="thin"/>
      <top style="medium"/>
      <bottom style="medium"/>
    </border>
    <border>
      <left style="medium"/>
      <right style="thin"/>
      <top style="thin"/>
      <bottom style="thin"/>
    </border>
    <border>
      <left style="medium"/>
      <right>
        <color indexed="63"/>
      </right>
      <top>
        <color indexed="63"/>
      </top>
      <bottom style="medium"/>
    </border>
    <border>
      <left style="medium"/>
      <right style="thin"/>
      <top style="thin"/>
      <bottom style="medium"/>
    </border>
    <border>
      <left style="medium"/>
      <right>
        <color indexed="63"/>
      </right>
      <top style="medium"/>
      <bottom style="thin"/>
    </border>
    <border>
      <left style="medium"/>
      <right style="medium"/>
      <top style="medium"/>
      <bottom style="thin"/>
    </border>
    <border>
      <left style="medium"/>
      <right>
        <color indexed="63"/>
      </right>
      <top style="thin"/>
      <bottom style="thin"/>
    </border>
    <border>
      <left style="medium"/>
      <right style="medium"/>
      <top style="thin"/>
      <bottom>
        <color indexed="63"/>
      </bottom>
    </border>
    <border>
      <left style="medium"/>
      <right>
        <color indexed="63"/>
      </right>
      <top style="medium"/>
      <bottom>
        <color indexed="63"/>
      </bottom>
    </border>
    <border>
      <left style="medium"/>
      <right style="thin"/>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thin"/>
      <right style="medium"/>
      <top style="medium"/>
      <bottom style="medium"/>
    </border>
    <border>
      <left style="thin"/>
      <right style="thin"/>
      <top style="thin"/>
      <bottom>
        <color indexed="63"/>
      </bottom>
    </border>
    <border>
      <left style="thin"/>
      <right style="medium"/>
      <top style="thin"/>
      <bottom>
        <color indexed="63"/>
      </bottom>
    </border>
    <border>
      <left style="thin"/>
      <right style="thin"/>
      <top>
        <color indexed="63"/>
      </top>
      <bottom style="thin"/>
    </border>
    <border>
      <left style="thin"/>
      <right style="medium"/>
      <top>
        <color indexed="63"/>
      </top>
      <bottom style="thin"/>
    </border>
    <border>
      <left style="thin"/>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style="medium"/>
      <top>
        <color indexed="63"/>
      </top>
      <bottom style="medium"/>
    </border>
    <border>
      <left>
        <color indexed="63"/>
      </left>
      <right style="medium"/>
      <top style="medium"/>
      <bottom>
        <color indexed="63"/>
      </bottom>
    </border>
    <border>
      <left style="medium"/>
      <right style="medium"/>
      <top style="medium"/>
      <bottom>
        <color indexed="63"/>
      </bottom>
    </border>
    <border>
      <left>
        <color indexed="63"/>
      </left>
      <right style="medium"/>
      <top style="medium"/>
      <bottom style="medium"/>
    </border>
    <border>
      <left>
        <color indexed="63"/>
      </left>
      <right>
        <color indexed="63"/>
      </right>
      <top style="medium"/>
      <bottom style="thin"/>
    </border>
    <border>
      <left>
        <color indexed="63"/>
      </left>
      <right style="medium"/>
      <top style="medium"/>
      <bottom style="thin"/>
    </border>
    <border>
      <left>
        <color indexed="63"/>
      </left>
      <right>
        <color indexed="63"/>
      </right>
      <top style="medium"/>
      <bottom>
        <color indexed="63"/>
      </bottom>
    </border>
  </borders>
  <cellStyleXfs count="2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3" fontId="0" fillId="0" borderId="0" applyFont="0" applyFill="0" applyBorder="0" applyAlignment="0" applyProtection="0"/>
    <xf numFmtId="38" fontId="0" fillId="0" borderId="0" applyFont="0" applyFill="0" applyBorder="0" applyAlignment="0" applyProtection="0"/>
    <xf numFmtId="3" fontId="0" fillId="0" borderId="0" applyFont="0" applyFill="0" applyBorder="0" applyAlignment="0" applyProtection="0"/>
    <xf numFmtId="166" fontId="0" fillId="0" borderId="0" applyFont="0" applyFill="0" applyBorder="0" applyAlignment="0" applyProtection="0"/>
    <xf numFmtId="164" fontId="0" fillId="0" borderId="0" applyFont="0" applyFill="0" applyBorder="0" applyAlignment="0" applyProtection="0"/>
    <xf numFmtId="4" fontId="0" fillId="0" borderId="0">
      <alignment/>
      <protection/>
    </xf>
    <xf numFmtId="0" fontId="9" fillId="0" borderId="0">
      <alignment/>
      <protection/>
    </xf>
    <xf numFmtId="9" fontId="0" fillId="0" borderId="0" applyFont="0" applyFill="0" applyBorder="0" applyAlignment="0" applyProtection="0"/>
  </cellStyleXfs>
  <cellXfs count="278">
    <xf numFmtId="0" fontId="0" fillId="0" borderId="0" xfId="0" applyAlignment="1">
      <alignment/>
    </xf>
    <xf numFmtId="4" fontId="6" fillId="2" borderId="0" xfId="22" applyFont="1" applyFill="1" applyProtection="1">
      <alignment/>
      <protection/>
    </xf>
    <xf numFmtId="4" fontId="0" fillId="2" borderId="0" xfId="22" applyFill="1" applyProtection="1">
      <alignment/>
      <protection/>
    </xf>
    <xf numFmtId="4" fontId="12" fillId="2" borderId="0" xfId="22" applyFont="1" applyFill="1" applyBorder="1" applyAlignment="1" applyProtection="1">
      <alignment horizontal="center" vertical="center"/>
      <protection hidden="1"/>
    </xf>
    <xf numFmtId="4" fontId="0" fillId="0" borderId="0" xfId="22" applyProtection="1">
      <alignment/>
      <protection/>
    </xf>
    <xf numFmtId="4" fontId="0" fillId="0" borderId="0" xfId="22" applyBorder="1" applyProtection="1">
      <alignment/>
      <protection/>
    </xf>
    <xf numFmtId="4" fontId="15" fillId="0" borderId="1" xfId="22" applyFont="1" applyFill="1" applyBorder="1" applyAlignment="1" applyProtection="1">
      <alignment horizontal="center" vertical="center"/>
      <protection/>
    </xf>
    <xf numFmtId="4" fontId="15" fillId="0" borderId="0" xfId="22" applyFont="1" applyFill="1" applyBorder="1" applyAlignment="1" applyProtection="1">
      <alignment horizontal="center" vertical="center"/>
      <protection/>
    </xf>
    <xf numFmtId="4" fontId="15" fillId="0" borderId="2" xfId="22" applyFont="1" applyFill="1" applyBorder="1" applyAlignment="1" applyProtection="1">
      <alignment horizontal="center" vertical="center"/>
      <protection/>
    </xf>
    <xf numFmtId="4" fontId="18" fillId="0" borderId="1" xfId="22" applyFont="1" applyBorder="1" applyProtection="1">
      <alignment/>
      <protection/>
    </xf>
    <xf numFmtId="4" fontId="18" fillId="0" borderId="0" xfId="22" applyFont="1" applyBorder="1" applyProtection="1">
      <alignment/>
      <protection/>
    </xf>
    <xf numFmtId="4" fontId="18" fillId="0" borderId="0" xfId="22" applyFont="1" applyBorder="1" applyAlignment="1" applyProtection="1">
      <alignment vertical="center"/>
      <protection hidden="1"/>
    </xf>
    <xf numFmtId="4" fontId="18" fillId="0" borderId="0" xfId="22" applyFont="1" applyBorder="1" applyAlignment="1" applyProtection="1">
      <alignment horizontal="center" vertical="center"/>
      <protection/>
    </xf>
    <xf numFmtId="4" fontId="19" fillId="3" borderId="3" xfId="22" applyFont="1" applyFill="1" applyBorder="1" applyAlignment="1" applyProtection="1">
      <alignment horizontal="center"/>
      <protection hidden="1"/>
    </xf>
    <xf numFmtId="4" fontId="20" fillId="4" borderId="4" xfId="22" applyNumberFormat="1" applyFont="1" applyFill="1" applyBorder="1" applyAlignment="1" applyProtection="1">
      <alignment horizontal="center" vertical="center"/>
      <protection locked="0"/>
    </xf>
    <xf numFmtId="185" fontId="20" fillId="4" borderId="4" xfId="22" applyNumberFormat="1" applyFont="1" applyFill="1" applyBorder="1" applyAlignment="1" applyProtection="1">
      <alignment horizontal="center" vertical="center"/>
      <protection locked="0"/>
    </xf>
    <xf numFmtId="4" fontId="6" fillId="2" borderId="0" xfId="22" applyFont="1" applyFill="1" applyBorder="1" applyProtection="1">
      <alignment/>
      <protection/>
    </xf>
    <xf numFmtId="4" fontId="6" fillId="0" borderId="0" xfId="22" applyFont="1" applyBorder="1" applyProtection="1">
      <alignment/>
      <protection/>
    </xf>
    <xf numFmtId="4" fontId="6" fillId="0" borderId="0" xfId="22" applyFont="1" applyProtection="1">
      <alignment/>
      <protection/>
    </xf>
    <xf numFmtId="186" fontId="1" fillId="3" borderId="5" xfId="22" applyNumberFormat="1" applyFont="1" applyFill="1" applyBorder="1" applyAlignment="1" applyProtection="1">
      <alignment horizontal="center"/>
      <protection hidden="1"/>
    </xf>
    <xf numFmtId="4" fontId="0" fillId="0" borderId="1" xfId="22" applyBorder="1" applyProtection="1">
      <alignment/>
      <protection/>
    </xf>
    <xf numFmtId="4" fontId="18" fillId="0" borderId="0" xfId="22" applyFont="1" applyBorder="1" applyAlignment="1" applyProtection="1">
      <alignment horizontal="right" vertical="center"/>
      <protection hidden="1"/>
    </xf>
    <xf numFmtId="4" fontId="18" fillId="0" borderId="0" xfId="22" applyFont="1" applyFill="1" applyBorder="1" applyAlignment="1" applyProtection="1">
      <alignment horizontal="center" vertical="center"/>
      <protection/>
    </xf>
    <xf numFmtId="4" fontId="1" fillId="5" borderId="5" xfId="22" applyFont="1" applyFill="1" applyBorder="1" applyAlignment="1" applyProtection="1">
      <alignment horizontal="center"/>
      <protection hidden="1"/>
    </xf>
    <xf numFmtId="4" fontId="1" fillId="0" borderId="3" xfId="22" applyFont="1" applyBorder="1" applyAlignment="1" applyProtection="1">
      <alignment horizontal="center"/>
      <protection hidden="1"/>
    </xf>
    <xf numFmtId="1" fontId="6" fillId="2" borderId="0" xfId="22" applyNumberFormat="1" applyFont="1" applyFill="1" applyBorder="1" applyProtection="1">
      <alignment/>
      <protection/>
    </xf>
    <xf numFmtId="4" fontId="18" fillId="0" borderId="0" xfId="22" applyFont="1" applyFill="1" applyBorder="1" applyProtection="1">
      <alignment/>
      <protection/>
    </xf>
    <xf numFmtId="4" fontId="18" fillId="0" borderId="0" xfId="22" applyFont="1" applyFill="1" applyBorder="1" applyAlignment="1" applyProtection="1">
      <alignment horizontal="right"/>
      <protection/>
    </xf>
    <xf numFmtId="4" fontId="1" fillId="5" borderId="4" xfId="22" applyFont="1" applyFill="1" applyBorder="1" applyAlignment="1" applyProtection="1">
      <alignment horizontal="center"/>
      <protection hidden="1"/>
    </xf>
    <xf numFmtId="4" fontId="6" fillId="2" borderId="0" xfId="22" applyFont="1" applyFill="1" applyBorder="1" applyAlignment="1" applyProtection="1">
      <alignment horizontal="center"/>
      <protection/>
    </xf>
    <xf numFmtId="4" fontId="18" fillId="0" borderId="0" xfId="22" applyFont="1" applyBorder="1" applyAlignment="1" applyProtection="1">
      <alignment horizontal="center"/>
      <protection/>
    </xf>
    <xf numFmtId="4" fontId="0" fillId="0" borderId="6" xfId="22" applyBorder="1" applyProtection="1">
      <alignment/>
      <protection/>
    </xf>
    <xf numFmtId="4" fontId="18" fillId="0" borderId="2" xfId="22" applyFont="1" applyBorder="1" applyProtection="1">
      <alignment/>
      <protection/>
    </xf>
    <xf numFmtId="4" fontId="7" fillId="2" borderId="0" xfId="22" applyFont="1" applyFill="1" applyBorder="1" applyAlignment="1" applyProtection="1">
      <alignment horizontal="center"/>
      <protection/>
    </xf>
    <xf numFmtId="4" fontId="0" fillId="2" borderId="0" xfId="22" applyFill="1" applyProtection="1">
      <alignment/>
      <protection hidden="1"/>
    </xf>
    <xf numFmtId="4" fontId="18" fillId="0" borderId="1" xfId="22" applyFont="1" applyFill="1" applyBorder="1" applyProtection="1">
      <alignment/>
      <protection hidden="1"/>
    </xf>
    <xf numFmtId="4" fontId="18" fillId="0" borderId="0" xfId="22" applyFont="1" applyFill="1" applyBorder="1" applyProtection="1">
      <alignment/>
      <protection hidden="1"/>
    </xf>
    <xf numFmtId="2" fontId="19" fillId="5" borderId="7" xfId="22" applyNumberFormat="1" applyFont="1" applyFill="1" applyBorder="1" applyAlignment="1" applyProtection="1">
      <alignment horizontal="right"/>
      <protection hidden="1"/>
    </xf>
    <xf numFmtId="4" fontId="19" fillId="5" borderId="8" xfId="22" applyFont="1" applyFill="1" applyBorder="1" applyAlignment="1" applyProtection="1">
      <alignment horizontal="right"/>
      <protection hidden="1"/>
    </xf>
    <xf numFmtId="1" fontId="19" fillId="5" borderId="9" xfId="22" applyNumberFormat="1" applyFont="1" applyFill="1" applyBorder="1" applyAlignment="1" applyProtection="1">
      <alignment horizontal="right"/>
      <protection hidden="1"/>
    </xf>
    <xf numFmtId="4" fontId="18" fillId="0" borderId="10" xfId="22" applyFont="1" applyFill="1" applyBorder="1" applyProtection="1">
      <alignment/>
      <protection hidden="1"/>
    </xf>
    <xf numFmtId="4" fontId="18" fillId="0" borderId="2" xfId="22" applyFont="1" applyFill="1" applyBorder="1" applyAlignment="1" applyProtection="1">
      <alignment horizontal="left"/>
      <protection hidden="1"/>
    </xf>
    <xf numFmtId="4" fontId="18" fillId="0" borderId="2" xfId="22" applyFont="1" applyFill="1" applyBorder="1" applyProtection="1">
      <alignment/>
      <protection hidden="1"/>
    </xf>
    <xf numFmtId="1" fontId="19" fillId="5" borderId="11" xfId="22" applyNumberFormat="1" applyFont="1" applyFill="1" applyBorder="1" applyAlignment="1" applyProtection="1">
      <alignment horizontal="right"/>
      <protection hidden="1"/>
    </xf>
    <xf numFmtId="168" fontId="19" fillId="5" borderId="12" xfId="22" applyNumberFormat="1" applyFont="1" applyFill="1" applyBorder="1" applyProtection="1">
      <alignment/>
      <protection hidden="1"/>
    </xf>
    <xf numFmtId="167" fontId="19" fillId="0" borderId="13" xfId="22" applyNumberFormat="1" applyFont="1" applyFill="1" applyBorder="1" applyAlignment="1" applyProtection="1">
      <alignment horizontal="center"/>
      <protection hidden="1"/>
    </xf>
    <xf numFmtId="168" fontId="19" fillId="5" borderId="14" xfId="22" applyNumberFormat="1" applyFont="1" applyFill="1" applyBorder="1" applyProtection="1">
      <alignment/>
      <protection hidden="1"/>
    </xf>
    <xf numFmtId="168" fontId="19" fillId="0" borderId="15" xfId="22" applyNumberFormat="1" applyFont="1" applyFill="1" applyBorder="1" applyAlignment="1" applyProtection="1">
      <alignment horizontal="center"/>
      <protection hidden="1"/>
    </xf>
    <xf numFmtId="4" fontId="19" fillId="5" borderId="16" xfId="22" applyFont="1" applyFill="1" applyBorder="1" applyProtection="1">
      <alignment/>
      <protection hidden="1"/>
    </xf>
    <xf numFmtId="4" fontId="19" fillId="5" borderId="4" xfId="22" applyFont="1" applyFill="1" applyBorder="1" applyAlignment="1" applyProtection="1">
      <alignment horizontal="center"/>
      <protection hidden="1"/>
    </xf>
    <xf numFmtId="4" fontId="19" fillId="5" borderId="5" xfId="22" applyFont="1" applyFill="1" applyBorder="1" applyAlignment="1" applyProtection="1">
      <alignment horizontal="center"/>
      <protection hidden="1"/>
    </xf>
    <xf numFmtId="168" fontId="19" fillId="0" borderId="5" xfId="22" applyNumberFormat="1" applyFont="1" applyFill="1" applyBorder="1" applyAlignment="1" applyProtection="1">
      <alignment horizontal="center"/>
      <protection hidden="1"/>
    </xf>
    <xf numFmtId="4" fontId="18" fillId="0" borderId="0" xfId="22" applyFont="1" applyFill="1" applyBorder="1" applyAlignment="1" applyProtection="1">
      <alignment horizontal="left"/>
      <protection hidden="1"/>
    </xf>
    <xf numFmtId="1" fontId="19" fillId="5" borderId="17" xfId="22" applyNumberFormat="1" applyFont="1" applyFill="1" applyBorder="1" applyAlignment="1" applyProtection="1">
      <alignment horizontal="right"/>
      <protection hidden="1"/>
    </xf>
    <xf numFmtId="4" fontId="18" fillId="5" borderId="18" xfId="22" applyFont="1" applyFill="1" applyBorder="1" applyProtection="1">
      <alignment/>
      <protection hidden="1"/>
    </xf>
    <xf numFmtId="4" fontId="18" fillId="5" borderId="19" xfId="22" applyFont="1" applyFill="1" applyBorder="1" applyProtection="1">
      <alignment/>
      <protection hidden="1"/>
    </xf>
    <xf numFmtId="1" fontId="19" fillId="5" borderId="20" xfId="22" applyNumberFormat="1" applyFont="1" applyFill="1" applyBorder="1" applyAlignment="1" applyProtection="1">
      <alignment horizontal="right"/>
      <protection hidden="1"/>
    </xf>
    <xf numFmtId="171" fontId="19" fillId="0" borderId="21" xfId="24" applyNumberFormat="1" applyFont="1" applyFill="1" applyBorder="1" applyAlignment="1" applyProtection="1">
      <alignment horizontal="center"/>
      <protection hidden="1"/>
    </xf>
    <xf numFmtId="4" fontId="18" fillId="2" borderId="0" xfId="22" applyFont="1" applyFill="1" applyProtection="1">
      <alignment/>
      <protection hidden="1"/>
    </xf>
    <xf numFmtId="3" fontId="6" fillId="2" borderId="0" xfId="22" applyNumberFormat="1" applyFont="1" applyFill="1" applyBorder="1" applyAlignment="1" applyProtection="1">
      <alignment horizontal="center"/>
      <protection/>
    </xf>
    <xf numFmtId="4" fontId="18" fillId="2" borderId="0" xfId="22" applyFont="1" applyFill="1" applyBorder="1" applyProtection="1">
      <alignment/>
      <protection hidden="1"/>
    </xf>
    <xf numFmtId="4" fontId="19" fillId="5" borderId="17" xfId="22" applyFont="1" applyFill="1" applyBorder="1" applyAlignment="1" applyProtection="1">
      <alignment horizontal="center"/>
      <protection hidden="1"/>
    </xf>
    <xf numFmtId="4" fontId="19" fillId="5" borderId="22" xfId="22" applyFont="1" applyFill="1" applyBorder="1" applyAlignment="1" applyProtection="1">
      <alignment horizontal="center"/>
      <protection hidden="1"/>
    </xf>
    <xf numFmtId="4" fontId="19" fillId="5" borderId="23" xfId="22" applyFont="1" applyFill="1" applyBorder="1" applyAlignment="1" applyProtection="1">
      <alignment horizontal="center"/>
      <protection hidden="1"/>
    </xf>
    <xf numFmtId="4" fontId="19" fillId="5" borderId="7" xfId="22" applyFont="1" applyFill="1" applyBorder="1" applyAlignment="1" applyProtection="1">
      <alignment horizontal="center"/>
      <protection hidden="1"/>
    </xf>
    <xf numFmtId="4" fontId="19" fillId="5" borderId="24" xfId="22" applyFont="1" applyFill="1" applyBorder="1" applyAlignment="1" applyProtection="1">
      <alignment horizontal="center"/>
      <protection hidden="1"/>
    </xf>
    <xf numFmtId="4" fontId="19" fillId="5" borderId="25" xfId="22" applyFont="1" applyFill="1" applyBorder="1" applyAlignment="1" applyProtection="1">
      <alignment horizontal="center"/>
      <protection hidden="1"/>
    </xf>
    <xf numFmtId="167" fontId="19" fillId="0" borderId="9" xfId="22" applyNumberFormat="1" applyFont="1" applyFill="1" applyBorder="1" applyAlignment="1" applyProtection="1">
      <alignment horizontal="center"/>
      <protection hidden="1"/>
    </xf>
    <xf numFmtId="167" fontId="19" fillId="0" borderId="26" xfId="22" applyNumberFormat="1" applyFont="1" applyFill="1" applyBorder="1" applyAlignment="1" applyProtection="1">
      <alignment horizontal="center"/>
      <protection hidden="1"/>
    </xf>
    <xf numFmtId="167" fontId="19" fillId="0" borderId="27" xfId="22" applyNumberFormat="1" applyFont="1" applyFill="1" applyBorder="1" applyAlignment="1" applyProtection="1">
      <alignment horizontal="center"/>
      <protection hidden="1"/>
    </xf>
    <xf numFmtId="168" fontId="19" fillId="0" borderId="11" xfId="22" applyNumberFormat="1" applyFont="1" applyBorder="1" applyAlignment="1" applyProtection="1">
      <alignment horizontal="center"/>
      <protection hidden="1"/>
    </xf>
    <xf numFmtId="168" fontId="19" fillId="0" borderId="28" xfId="22" applyNumberFormat="1" applyFont="1" applyBorder="1" applyAlignment="1" applyProtection="1">
      <alignment horizontal="center"/>
      <protection hidden="1"/>
    </xf>
    <xf numFmtId="168" fontId="19" fillId="0" borderId="29" xfId="22" applyNumberFormat="1" applyFont="1" applyBorder="1" applyAlignment="1" applyProtection="1">
      <alignment horizontal="center"/>
      <protection hidden="1"/>
    </xf>
    <xf numFmtId="4" fontId="18" fillId="2" borderId="0" xfId="22" applyFont="1" applyFill="1" applyBorder="1" applyAlignment="1" applyProtection="1">
      <alignment horizontal="left"/>
      <protection hidden="1"/>
    </xf>
    <xf numFmtId="4" fontId="19" fillId="5" borderId="30" xfId="22" applyFont="1" applyFill="1" applyBorder="1" applyAlignment="1" applyProtection="1">
      <alignment horizontal="center"/>
      <protection hidden="1"/>
    </xf>
    <xf numFmtId="4" fontId="19" fillId="5" borderId="31" xfId="22" applyFont="1" applyFill="1" applyBorder="1" applyAlignment="1" applyProtection="1">
      <alignment horizontal="center"/>
      <protection hidden="1"/>
    </xf>
    <xf numFmtId="4" fontId="19" fillId="5" borderId="32" xfId="22" applyFont="1" applyFill="1" applyBorder="1" applyAlignment="1" applyProtection="1">
      <alignment horizontal="center"/>
      <protection hidden="1"/>
    </xf>
    <xf numFmtId="4" fontId="0" fillId="2" borderId="0" xfId="22" applyFill="1" applyBorder="1" applyProtection="1">
      <alignment/>
      <protection/>
    </xf>
    <xf numFmtId="1" fontId="19" fillId="0" borderId="11" xfId="22" applyNumberFormat="1" applyFont="1" applyBorder="1" applyAlignment="1" applyProtection="1">
      <alignment horizontal="center"/>
      <protection hidden="1"/>
    </xf>
    <xf numFmtId="1" fontId="19" fillId="0" borderId="28" xfId="22" applyNumberFormat="1" applyFont="1" applyBorder="1" applyAlignment="1" applyProtection="1">
      <alignment horizontal="center"/>
      <protection hidden="1"/>
    </xf>
    <xf numFmtId="1" fontId="19" fillId="0" borderId="29" xfId="22" applyNumberFormat="1" applyFont="1" applyBorder="1" applyAlignment="1" applyProtection="1">
      <alignment horizontal="center"/>
      <protection hidden="1"/>
    </xf>
    <xf numFmtId="4" fontId="5" fillId="2" borderId="0" xfId="22" applyFont="1" applyFill="1" applyBorder="1" applyProtection="1">
      <alignment/>
      <protection/>
    </xf>
    <xf numFmtId="178" fontId="0" fillId="0" borderId="0" xfId="22" applyNumberFormat="1" applyAlignment="1" applyProtection="1">
      <alignment horizontal="center"/>
      <protection/>
    </xf>
    <xf numFmtId="4" fontId="4" fillId="0" borderId="0" xfId="22" applyFont="1" applyBorder="1" applyProtection="1">
      <alignment/>
      <protection/>
    </xf>
    <xf numFmtId="4" fontId="7" fillId="0" borderId="0" xfId="22" applyFont="1" applyBorder="1" applyProtection="1">
      <alignment/>
      <protection/>
    </xf>
    <xf numFmtId="4" fontId="8" fillId="0" borderId="0" xfId="22" applyFont="1" applyBorder="1" applyProtection="1">
      <alignment/>
      <protection/>
    </xf>
    <xf numFmtId="3" fontId="21" fillId="0" borderId="33" xfId="19" applyFont="1" applyBorder="1" applyAlignment="1" applyProtection="1">
      <alignment horizontal="center"/>
      <protection/>
    </xf>
    <xf numFmtId="4" fontId="18" fillId="0" borderId="0" xfId="22" applyFont="1" applyProtection="1">
      <alignment/>
      <protection/>
    </xf>
    <xf numFmtId="4" fontId="36" fillId="0" borderId="0" xfId="22" applyFont="1" applyAlignment="1" applyProtection="1">
      <alignment horizontal="center"/>
      <protection/>
    </xf>
    <xf numFmtId="4" fontId="37" fillId="0" borderId="0" xfId="22" applyFont="1" applyProtection="1">
      <alignment/>
      <protection/>
    </xf>
    <xf numFmtId="4" fontId="38" fillId="0" borderId="0" xfId="22" applyFont="1" applyProtection="1">
      <alignment/>
      <protection/>
    </xf>
    <xf numFmtId="49" fontId="36" fillId="0" borderId="0" xfId="19" applyNumberFormat="1" applyFont="1" applyAlignment="1" applyProtection="1">
      <alignment horizontal="center"/>
      <protection/>
    </xf>
    <xf numFmtId="4" fontId="36" fillId="0" borderId="0" xfId="22" applyFont="1" applyProtection="1">
      <alignment/>
      <protection/>
    </xf>
    <xf numFmtId="4" fontId="39" fillId="0" borderId="0" xfId="22" applyFont="1" applyProtection="1">
      <alignment/>
      <protection/>
    </xf>
    <xf numFmtId="3" fontId="36" fillId="0" borderId="0" xfId="19" applyFont="1" applyAlignment="1" applyProtection="1">
      <alignment horizontal="center"/>
      <protection locked="0"/>
    </xf>
    <xf numFmtId="3" fontId="18" fillId="0" borderId="0" xfId="19" applyFont="1" applyAlignment="1" applyProtection="1">
      <alignment horizontal="center"/>
      <protection locked="0"/>
    </xf>
    <xf numFmtId="2" fontId="18" fillId="0" borderId="34" xfId="22" applyNumberFormat="1" applyFont="1" applyBorder="1" applyProtection="1">
      <alignment/>
      <protection/>
    </xf>
    <xf numFmtId="4" fontId="18" fillId="0" borderId="6" xfId="22" applyFont="1" applyBorder="1" applyProtection="1">
      <alignment/>
      <protection/>
    </xf>
    <xf numFmtId="2" fontId="18" fillId="0" borderId="6" xfId="22" applyNumberFormat="1" applyFont="1" applyBorder="1" applyProtection="1">
      <alignment/>
      <protection/>
    </xf>
    <xf numFmtId="2" fontId="18" fillId="0" borderId="33" xfId="22" applyNumberFormat="1" applyFont="1" applyBorder="1" applyProtection="1">
      <alignment/>
      <protection/>
    </xf>
    <xf numFmtId="170" fontId="18" fillId="0" borderId="0" xfId="22" applyNumberFormat="1" applyFont="1" applyProtection="1">
      <alignment/>
      <protection/>
    </xf>
    <xf numFmtId="167" fontId="18" fillId="0" borderId="34" xfId="22" applyNumberFormat="1" applyFont="1" applyBorder="1" applyProtection="1">
      <alignment/>
      <protection/>
    </xf>
    <xf numFmtId="4" fontId="0" fillId="2" borderId="1" xfId="22" applyFill="1" applyBorder="1" applyProtection="1">
      <alignment/>
      <protection/>
    </xf>
    <xf numFmtId="4" fontId="0" fillId="2" borderId="6" xfId="22" applyFill="1" applyBorder="1" applyAlignment="1" applyProtection="1">
      <alignment horizontal="center"/>
      <protection/>
    </xf>
    <xf numFmtId="4" fontId="6" fillId="2" borderId="1" xfId="22" applyFont="1" applyFill="1" applyBorder="1" applyProtection="1">
      <alignment/>
      <protection/>
    </xf>
    <xf numFmtId="4" fontId="6" fillId="2" borderId="6" xfId="22" applyFont="1" applyFill="1" applyBorder="1" applyProtection="1">
      <alignment/>
      <protection/>
    </xf>
    <xf numFmtId="176" fontId="19" fillId="0" borderId="25" xfId="22" applyNumberFormat="1" applyFont="1" applyFill="1" applyBorder="1" applyAlignment="1" applyProtection="1">
      <alignment horizontal="center"/>
      <protection hidden="1"/>
    </xf>
    <xf numFmtId="176" fontId="1" fillId="0" borderId="29" xfId="22" applyNumberFormat="1" applyFont="1" applyBorder="1" applyAlignment="1" applyProtection="1">
      <alignment horizontal="center"/>
      <protection hidden="1"/>
    </xf>
    <xf numFmtId="4" fontId="20" fillId="4" borderId="32" xfId="22" applyFont="1" applyFill="1" applyBorder="1" applyAlignment="1" applyProtection="1">
      <alignment horizontal="center"/>
      <protection locked="0"/>
    </xf>
    <xf numFmtId="4" fontId="20" fillId="4" borderId="27" xfId="22" applyFont="1" applyFill="1" applyBorder="1" applyAlignment="1" applyProtection="1">
      <alignment horizontal="center"/>
      <protection locked="0"/>
    </xf>
    <xf numFmtId="9" fontId="20" fillId="4" borderId="27" xfId="24" applyFont="1" applyFill="1" applyBorder="1" applyAlignment="1" applyProtection="1">
      <alignment horizontal="center"/>
      <protection locked="0"/>
    </xf>
    <xf numFmtId="176" fontId="20" fillId="4" borderId="27" xfId="22" applyNumberFormat="1" applyFont="1" applyFill="1" applyBorder="1" applyAlignment="1" applyProtection="1">
      <alignment horizontal="center"/>
      <protection locked="0"/>
    </xf>
    <xf numFmtId="4" fontId="18" fillId="0" borderId="33" xfId="22" applyFont="1" applyBorder="1" applyProtection="1">
      <alignment/>
      <protection/>
    </xf>
    <xf numFmtId="4" fontId="42" fillId="0" borderId="3" xfId="22" applyFont="1" applyBorder="1" applyProtection="1">
      <alignment/>
      <protection/>
    </xf>
    <xf numFmtId="4" fontId="42" fillId="0" borderId="5" xfId="22" applyFont="1" applyBorder="1" applyProtection="1">
      <alignment/>
      <protection/>
    </xf>
    <xf numFmtId="4" fontId="19" fillId="0" borderId="4" xfId="22" applyFont="1" applyBorder="1" applyAlignment="1" applyProtection="1">
      <alignment horizontal="right"/>
      <protection/>
    </xf>
    <xf numFmtId="170" fontId="29" fillId="0" borderId="0" xfId="22" applyNumberFormat="1" applyFont="1" applyProtection="1">
      <alignment/>
      <protection/>
    </xf>
    <xf numFmtId="4" fontId="29" fillId="0" borderId="0" xfId="22" applyFont="1" applyProtection="1">
      <alignment/>
      <protection/>
    </xf>
    <xf numFmtId="177" fontId="18" fillId="0" borderId="0" xfId="22" applyNumberFormat="1" applyFont="1" applyAlignment="1" applyProtection="1">
      <alignment horizontal="center"/>
      <protection/>
    </xf>
    <xf numFmtId="170" fontId="18" fillId="0" borderId="35" xfId="22" applyNumberFormat="1" applyFont="1" applyBorder="1" applyProtection="1">
      <alignment/>
      <protection/>
    </xf>
    <xf numFmtId="170" fontId="18" fillId="0" borderId="3" xfId="22" applyNumberFormat="1" applyFont="1" applyBorder="1" applyProtection="1">
      <alignment/>
      <protection/>
    </xf>
    <xf numFmtId="170" fontId="18" fillId="0" borderId="5" xfId="22" applyNumberFormat="1" applyFont="1" applyBorder="1" applyProtection="1">
      <alignment/>
      <protection/>
    </xf>
    <xf numFmtId="177" fontId="18" fillId="0" borderId="3" xfId="22" applyNumberFormat="1" applyFont="1" applyBorder="1" applyProtection="1">
      <alignment/>
      <protection/>
    </xf>
    <xf numFmtId="177" fontId="18" fillId="0" borderId="5" xfId="22" applyNumberFormat="1" applyFont="1" applyBorder="1" applyProtection="1">
      <alignment/>
      <protection/>
    </xf>
    <xf numFmtId="170" fontId="18" fillId="0" borderId="34" xfId="22" applyNumberFormat="1" applyFont="1" applyBorder="1" applyProtection="1">
      <alignment/>
      <protection/>
    </xf>
    <xf numFmtId="177" fontId="18" fillId="0" borderId="34" xfId="22" applyNumberFormat="1" applyFont="1" applyBorder="1" applyProtection="1">
      <alignment/>
      <protection/>
    </xf>
    <xf numFmtId="177" fontId="18" fillId="0" borderId="6" xfId="22" applyNumberFormat="1" applyFont="1" applyBorder="1" applyProtection="1">
      <alignment/>
      <protection/>
    </xf>
    <xf numFmtId="4" fontId="19" fillId="0" borderId="36" xfId="22" applyFont="1" applyBorder="1" applyAlignment="1" applyProtection="1">
      <alignment horizontal="right"/>
      <protection/>
    </xf>
    <xf numFmtId="4" fontId="19" fillId="0" borderId="35" xfId="22" applyFont="1" applyBorder="1" applyProtection="1">
      <alignment/>
      <protection/>
    </xf>
    <xf numFmtId="4" fontId="18" fillId="0" borderId="35" xfId="22" applyFont="1" applyBorder="1" applyProtection="1">
      <alignment/>
      <protection/>
    </xf>
    <xf numFmtId="4" fontId="18" fillId="0" borderId="3" xfId="22" applyFont="1" applyBorder="1" applyProtection="1">
      <alignment/>
      <protection/>
    </xf>
    <xf numFmtId="4" fontId="18" fillId="0" borderId="5" xfId="22" applyFont="1" applyBorder="1" applyProtection="1">
      <alignment/>
      <protection/>
    </xf>
    <xf numFmtId="4" fontId="19" fillId="0" borderId="4" xfId="22" applyFont="1" applyBorder="1" applyProtection="1">
      <alignment/>
      <protection/>
    </xf>
    <xf numFmtId="4" fontId="42" fillId="0" borderId="35" xfId="22" applyFont="1" applyBorder="1" applyProtection="1">
      <alignment/>
      <protection/>
    </xf>
    <xf numFmtId="176" fontId="18" fillId="0" borderId="4" xfId="22" applyNumberFormat="1" applyFont="1" applyBorder="1" applyProtection="1">
      <alignment/>
      <protection/>
    </xf>
    <xf numFmtId="176" fontId="20" fillId="4" borderId="36" xfId="22" applyNumberFormat="1" applyFont="1" applyFill="1" applyBorder="1" applyProtection="1">
      <alignment/>
      <protection/>
    </xf>
    <xf numFmtId="173" fontId="18" fillId="0" borderId="0" xfId="17" applyNumberFormat="1" applyFont="1" applyAlignment="1" applyProtection="1">
      <alignment horizontal="center"/>
      <protection/>
    </xf>
    <xf numFmtId="10" fontId="18" fillId="0" borderId="0" xfId="24" applyNumberFormat="1" applyFont="1" applyAlignment="1" applyProtection="1">
      <alignment/>
      <protection/>
    </xf>
    <xf numFmtId="4" fontId="1" fillId="0" borderId="5" xfId="22" applyNumberFormat="1" applyFont="1" applyBorder="1" applyAlignment="1" applyProtection="1">
      <alignment horizontal="center"/>
      <protection hidden="1"/>
    </xf>
    <xf numFmtId="4" fontId="13" fillId="6" borderId="18" xfId="22" applyFont="1" applyFill="1" applyBorder="1" applyAlignment="1" applyProtection="1">
      <alignment horizontal="left" vertical="center"/>
      <protection hidden="1"/>
    </xf>
    <xf numFmtId="4" fontId="0" fillId="2" borderId="6" xfId="22" applyFill="1" applyBorder="1" applyProtection="1">
      <alignment/>
      <protection/>
    </xf>
    <xf numFmtId="4" fontId="0" fillId="0" borderId="10" xfId="22" applyBorder="1" applyProtection="1">
      <alignment/>
      <protection/>
    </xf>
    <xf numFmtId="4" fontId="0" fillId="0" borderId="2" xfId="22" applyBorder="1" applyProtection="1">
      <alignment/>
      <protection/>
    </xf>
    <xf numFmtId="189" fontId="18" fillId="0" borderId="0" xfId="17" applyNumberFormat="1" applyFont="1" applyFill="1" applyAlignment="1" applyProtection="1">
      <alignment horizontal="center"/>
      <protection/>
    </xf>
    <xf numFmtId="176" fontId="18" fillId="0" borderId="0" xfId="22" applyNumberFormat="1" applyFont="1" applyFill="1" applyAlignment="1" applyProtection="1">
      <alignment horizontal="center"/>
      <protection/>
    </xf>
    <xf numFmtId="4" fontId="18" fillId="0" borderId="0" xfId="22" applyFont="1" applyFill="1" applyProtection="1">
      <alignment/>
      <protection/>
    </xf>
    <xf numFmtId="170" fontId="48" fillId="4" borderId="26" xfId="0" applyNumberFormat="1" applyFont="1" applyFill="1" applyBorder="1" applyAlignment="1" applyProtection="1">
      <alignment/>
      <protection locked="0"/>
    </xf>
    <xf numFmtId="167" fontId="11" fillId="3" borderId="26" xfId="0" applyNumberFormat="1" applyFont="1" applyFill="1" applyBorder="1" applyAlignment="1" applyProtection="1">
      <alignment/>
      <protection locked="0"/>
    </xf>
    <xf numFmtId="4" fontId="19" fillId="0" borderId="0" xfId="22" applyFont="1" applyProtection="1">
      <alignment/>
      <protection/>
    </xf>
    <xf numFmtId="0" fontId="0" fillId="0" borderId="0" xfId="0" applyAlignment="1" applyProtection="1">
      <alignment/>
      <protection/>
    </xf>
    <xf numFmtId="4" fontId="19" fillId="5" borderId="4" xfId="22" applyFont="1" applyFill="1" applyBorder="1" applyProtection="1">
      <alignment/>
      <protection/>
    </xf>
    <xf numFmtId="2" fontId="19" fillId="5" borderId="4" xfId="22" applyNumberFormat="1" applyFont="1" applyFill="1" applyBorder="1" applyAlignment="1" applyProtection="1">
      <alignment horizontal="center"/>
      <protection/>
    </xf>
    <xf numFmtId="0" fontId="9" fillId="0" borderId="0" xfId="23" applyFont="1" applyProtection="1">
      <alignment/>
      <protection/>
    </xf>
    <xf numFmtId="184" fontId="10" fillId="4" borderId="26" xfId="23" applyNumberFormat="1" applyFont="1" applyFill="1" applyBorder="1" applyAlignment="1" applyProtection="1">
      <alignment horizontal="center"/>
      <protection/>
    </xf>
    <xf numFmtId="167" fontId="18" fillId="0" borderId="0" xfId="22" applyNumberFormat="1" applyFont="1" applyFill="1" applyAlignment="1" applyProtection="1">
      <alignment horizontal="center"/>
      <protection/>
    </xf>
    <xf numFmtId="0" fontId="0" fillId="0" borderId="0" xfId="0" applyFont="1" applyAlignment="1" applyProtection="1">
      <alignment/>
      <protection/>
    </xf>
    <xf numFmtId="2" fontId="0" fillId="0" borderId="0" xfId="0" applyNumberFormat="1" applyAlignment="1" applyProtection="1">
      <alignment/>
      <protection/>
    </xf>
    <xf numFmtId="188" fontId="19" fillId="0" borderId="0" xfId="24" applyNumberFormat="1" applyFont="1" applyAlignment="1" applyProtection="1">
      <alignment horizontal="center"/>
      <protection/>
    </xf>
    <xf numFmtId="188" fontId="18" fillId="0" borderId="0" xfId="22" applyNumberFormat="1" applyFont="1" applyFill="1" applyBorder="1" applyAlignment="1" applyProtection="1">
      <alignment horizontal="center"/>
      <protection/>
    </xf>
    <xf numFmtId="167" fontId="0" fillId="0" borderId="0" xfId="0" applyNumberFormat="1" applyFont="1" applyAlignment="1" applyProtection="1">
      <alignment/>
      <protection/>
    </xf>
    <xf numFmtId="167" fontId="35" fillId="0" borderId="0" xfId="0" applyNumberFormat="1" applyFont="1" applyAlignment="1" applyProtection="1">
      <alignment/>
      <protection/>
    </xf>
    <xf numFmtId="188" fontId="18" fillId="0" borderId="0" xfId="22" applyNumberFormat="1" applyFont="1" applyFill="1" applyAlignment="1" applyProtection="1">
      <alignment horizontal="center"/>
      <protection/>
    </xf>
    <xf numFmtId="10" fontId="18" fillId="0" borderId="0" xfId="22" applyNumberFormat="1" applyFont="1" applyAlignment="1" applyProtection="1">
      <alignment horizontal="center"/>
      <protection/>
    </xf>
    <xf numFmtId="179" fontId="0" fillId="0" borderId="0" xfId="0" applyNumberFormat="1" applyAlignment="1" applyProtection="1">
      <alignment/>
      <protection/>
    </xf>
    <xf numFmtId="2" fontId="19" fillId="0" borderId="0" xfId="22" applyNumberFormat="1" applyFont="1" applyAlignment="1" applyProtection="1">
      <alignment horizontal="center"/>
      <protection/>
    </xf>
    <xf numFmtId="170" fontId="0" fillId="0" borderId="0" xfId="0" applyNumberFormat="1" applyAlignment="1" applyProtection="1">
      <alignment/>
      <protection/>
    </xf>
    <xf numFmtId="173" fontId="18" fillId="0" borderId="0" xfId="22" applyNumberFormat="1" applyFont="1" applyFill="1" applyAlignment="1" applyProtection="1">
      <alignment horizontal="center"/>
      <protection/>
    </xf>
    <xf numFmtId="0" fontId="18" fillId="0" borderId="0" xfId="0" applyFont="1" applyBorder="1" applyAlignment="1" applyProtection="1">
      <alignment horizontal="left"/>
      <protection/>
    </xf>
    <xf numFmtId="0" fontId="41" fillId="0" borderId="0" xfId="0" applyFont="1" applyAlignment="1" applyProtection="1">
      <alignment/>
      <protection/>
    </xf>
    <xf numFmtId="11" fontId="18" fillId="0" borderId="0" xfId="22" applyNumberFormat="1" applyFont="1" applyFill="1" applyAlignment="1" applyProtection="1">
      <alignment horizontal="center"/>
      <protection/>
    </xf>
    <xf numFmtId="4" fontId="42" fillId="0" borderId="0" xfId="22" applyFont="1" applyProtection="1">
      <alignment/>
      <protection/>
    </xf>
    <xf numFmtId="9" fontId="0" fillId="0" borderId="0" xfId="0" applyNumberFormat="1" applyAlignment="1" applyProtection="1">
      <alignment/>
      <protection/>
    </xf>
    <xf numFmtId="2" fontId="18" fillId="0" borderId="0" xfId="22" applyNumberFormat="1" applyFont="1" applyFill="1" applyAlignment="1" applyProtection="1">
      <alignment horizontal="center"/>
      <protection/>
    </xf>
    <xf numFmtId="11" fontId="20" fillId="4" borderId="26" xfId="22" applyNumberFormat="1" applyFont="1" applyFill="1" applyBorder="1" applyAlignment="1" applyProtection="1">
      <alignment horizontal="center"/>
      <protection/>
    </xf>
    <xf numFmtId="11" fontId="18" fillId="0" borderId="0" xfId="22" applyNumberFormat="1" applyFont="1" applyAlignment="1" applyProtection="1">
      <alignment horizontal="center"/>
      <protection/>
    </xf>
    <xf numFmtId="0" fontId="19" fillId="0" borderId="0" xfId="23" applyFont="1" applyBorder="1" applyProtection="1">
      <alignment/>
      <protection/>
    </xf>
    <xf numFmtId="4" fontId="35" fillId="0" borderId="0" xfId="0" applyNumberFormat="1" applyFont="1" applyAlignment="1" applyProtection="1">
      <alignment/>
      <protection/>
    </xf>
    <xf numFmtId="3" fontId="1" fillId="0" borderId="0" xfId="0" applyNumberFormat="1" applyFont="1" applyAlignment="1" applyProtection="1">
      <alignment horizontal="center"/>
      <protection/>
    </xf>
    <xf numFmtId="2" fontId="0" fillId="0" borderId="0" xfId="0" applyNumberFormat="1" applyAlignment="1" applyProtection="1">
      <alignment horizontal="center"/>
      <protection/>
    </xf>
    <xf numFmtId="0" fontId="1" fillId="0" borderId="0" xfId="0" applyFont="1" applyAlignment="1" applyProtection="1">
      <alignment horizontal="center"/>
      <protection/>
    </xf>
    <xf numFmtId="175" fontId="18" fillId="0" borderId="0" xfId="22" applyNumberFormat="1" applyFont="1" applyAlignment="1" applyProtection="1">
      <alignment horizontal="center"/>
      <protection/>
    </xf>
    <xf numFmtId="177" fontId="0" fillId="3" borderId="26" xfId="0" applyNumberFormat="1" applyFont="1" applyFill="1" applyBorder="1" applyAlignment="1" applyProtection="1">
      <alignment/>
      <protection/>
    </xf>
    <xf numFmtId="170" fontId="0" fillId="3" borderId="26" xfId="0" applyNumberFormat="1" applyFill="1" applyBorder="1" applyAlignment="1" applyProtection="1">
      <alignment/>
      <protection/>
    </xf>
    <xf numFmtId="4" fontId="19" fillId="0" borderId="0" xfId="22" applyFont="1" applyFill="1" applyBorder="1" applyAlignment="1" applyProtection="1">
      <alignment/>
      <protection/>
    </xf>
    <xf numFmtId="167" fontId="26" fillId="0" borderId="0" xfId="22" applyNumberFormat="1" applyFont="1" applyFill="1" applyBorder="1" applyAlignment="1" applyProtection="1">
      <alignment horizontal="center"/>
      <protection/>
    </xf>
    <xf numFmtId="0" fontId="1" fillId="0" borderId="0" xfId="0" applyFont="1" applyAlignment="1" applyProtection="1">
      <alignment/>
      <protection/>
    </xf>
    <xf numFmtId="174" fontId="0" fillId="0" borderId="0" xfId="0" applyNumberFormat="1" applyAlignment="1" applyProtection="1">
      <alignment horizontal="center"/>
      <protection/>
    </xf>
    <xf numFmtId="2" fontId="34" fillId="0" borderId="0" xfId="0" applyNumberFormat="1" applyFont="1" applyAlignment="1" applyProtection="1">
      <alignment horizontal="center"/>
      <protection/>
    </xf>
    <xf numFmtId="2" fontId="0" fillId="0" borderId="0" xfId="0" applyNumberFormat="1" applyFont="1" applyAlignment="1" applyProtection="1">
      <alignment horizontal="center"/>
      <protection/>
    </xf>
    <xf numFmtId="194" fontId="0" fillId="0" borderId="0" xfId="0" applyNumberFormat="1" applyAlignment="1" applyProtection="1">
      <alignment horizontal="center"/>
      <protection/>
    </xf>
    <xf numFmtId="194" fontId="0" fillId="0" borderId="0" xfId="0" applyNumberFormat="1" applyFont="1" applyAlignment="1" applyProtection="1">
      <alignment horizontal="center"/>
      <protection/>
    </xf>
    <xf numFmtId="4" fontId="1" fillId="0" borderId="0" xfId="0" applyNumberFormat="1" applyFont="1" applyAlignment="1" applyProtection="1">
      <alignment horizontal="center"/>
      <protection/>
    </xf>
    <xf numFmtId="0" fontId="48" fillId="4" borderId="26" xfId="0" applyFont="1" applyFill="1" applyBorder="1" applyAlignment="1" applyProtection="1">
      <alignment horizontal="center"/>
      <protection/>
    </xf>
    <xf numFmtId="4" fontId="0" fillId="0" borderId="0" xfId="0" applyNumberFormat="1" applyFont="1" applyAlignment="1" applyProtection="1">
      <alignment horizontal="center"/>
      <protection/>
    </xf>
    <xf numFmtId="2" fontId="48" fillId="4" borderId="26" xfId="0" applyNumberFormat="1" applyFont="1" applyFill="1" applyBorder="1" applyAlignment="1" applyProtection="1">
      <alignment horizontal="center"/>
      <protection/>
    </xf>
    <xf numFmtId="179" fontId="0" fillId="0" borderId="0" xfId="0" applyNumberFormat="1" applyAlignment="1" applyProtection="1">
      <alignment horizontal="center"/>
      <protection/>
    </xf>
    <xf numFmtId="179" fontId="0" fillId="0" borderId="0" xfId="0" applyNumberFormat="1" applyFont="1" applyAlignment="1" applyProtection="1">
      <alignment horizontal="center"/>
      <protection/>
    </xf>
    <xf numFmtId="0" fontId="0" fillId="0" borderId="0" xfId="0" applyAlignment="1" applyProtection="1">
      <alignment horizontal="center"/>
      <protection/>
    </xf>
    <xf numFmtId="0" fontId="0" fillId="0" borderId="0" xfId="0" applyFont="1" applyAlignment="1" applyProtection="1">
      <alignment/>
      <protection/>
    </xf>
    <xf numFmtId="167" fontId="0" fillId="0" borderId="0" xfId="0" applyNumberFormat="1" applyAlignment="1" applyProtection="1">
      <alignment horizontal="center"/>
      <protection/>
    </xf>
    <xf numFmtId="167" fontId="0" fillId="0" borderId="0" xfId="0" applyNumberFormat="1" applyFont="1" applyAlignment="1" applyProtection="1">
      <alignment horizontal="center"/>
      <protection/>
    </xf>
    <xf numFmtId="9" fontId="48" fillId="4" borderId="26" xfId="0" applyNumberFormat="1" applyFont="1" applyFill="1" applyBorder="1" applyAlignment="1" applyProtection="1">
      <alignment horizontal="center"/>
      <protection/>
    </xf>
    <xf numFmtId="168" fontId="0" fillId="0" borderId="0" xfId="0" applyNumberFormat="1" applyAlignment="1" applyProtection="1">
      <alignment horizontal="center"/>
      <protection/>
    </xf>
    <xf numFmtId="168" fontId="0" fillId="0" borderId="0" xfId="0" applyNumberFormat="1" applyFont="1" applyAlignment="1" applyProtection="1">
      <alignment horizontal="center"/>
      <protection/>
    </xf>
    <xf numFmtId="9" fontId="0" fillId="0" borderId="0" xfId="24" applyAlignment="1" applyProtection="1">
      <alignment horizontal="center"/>
      <protection/>
    </xf>
    <xf numFmtId="9" fontId="0" fillId="0" borderId="0" xfId="24" applyFont="1" applyAlignment="1" applyProtection="1">
      <alignment horizontal="center"/>
      <protection/>
    </xf>
    <xf numFmtId="167" fontId="48" fillId="4" borderId="26" xfId="0" applyNumberFormat="1" applyFont="1" applyFill="1" applyBorder="1" applyAlignment="1" applyProtection="1">
      <alignment horizontal="center"/>
      <protection/>
    </xf>
    <xf numFmtId="1" fontId="0" fillId="0" borderId="0" xfId="0" applyNumberFormat="1" applyAlignment="1" applyProtection="1">
      <alignment horizontal="center"/>
      <protection/>
    </xf>
    <xf numFmtId="1" fontId="0" fillId="0" borderId="0" xfId="0" applyNumberFormat="1" applyFont="1" applyAlignment="1" applyProtection="1">
      <alignment horizontal="center"/>
      <protection/>
    </xf>
    <xf numFmtId="3" fontId="0" fillId="0" borderId="0" xfId="17" applyAlignment="1" applyProtection="1">
      <alignment horizontal="center"/>
      <protection/>
    </xf>
    <xf numFmtId="4" fontId="19" fillId="5" borderId="30" xfId="22" applyFont="1" applyFill="1" applyBorder="1" applyProtection="1">
      <alignment/>
      <protection hidden="1"/>
    </xf>
    <xf numFmtId="4" fontId="19" fillId="5" borderId="9" xfId="22" applyFont="1" applyFill="1" applyBorder="1" applyProtection="1">
      <alignment/>
      <protection hidden="1"/>
    </xf>
    <xf numFmtId="4" fontId="19" fillId="5" borderId="7" xfId="22" applyFont="1" applyFill="1" applyBorder="1" applyProtection="1">
      <alignment/>
      <protection hidden="1"/>
    </xf>
    <xf numFmtId="4" fontId="19" fillId="5" borderId="11" xfId="22" applyFont="1" applyFill="1" applyBorder="1" applyProtection="1">
      <alignment/>
      <protection hidden="1"/>
    </xf>
    <xf numFmtId="4" fontId="18" fillId="0" borderId="32" xfId="22" applyFont="1" applyBorder="1" applyProtection="1">
      <alignment/>
      <protection/>
    </xf>
    <xf numFmtId="4" fontId="18" fillId="0" borderId="27" xfId="22" applyFont="1" applyBorder="1" applyProtection="1">
      <alignment/>
      <protection/>
    </xf>
    <xf numFmtId="4" fontId="18" fillId="0" borderId="29" xfId="22" applyFont="1" applyBorder="1" applyProtection="1">
      <alignment/>
      <protection/>
    </xf>
    <xf numFmtId="2" fontId="19" fillId="0" borderId="25" xfId="22" applyNumberFormat="1" applyFont="1" applyFill="1" applyBorder="1" applyAlignment="1" applyProtection="1">
      <alignment horizontal="center"/>
      <protection hidden="1"/>
    </xf>
    <xf numFmtId="168" fontId="19" fillId="0" borderId="27" xfId="22" applyNumberFormat="1" applyFont="1" applyFill="1" applyBorder="1" applyAlignment="1" applyProtection="1">
      <alignment horizontal="center"/>
      <protection hidden="1"/>
    </xf>
    <xf numFmtId="168" fontId="19" fillId="0" borderId="29" xfId="22" applyNumberFormat="1" applyFont="1" applyFill="1" applyBorder="1" applyAlignment="1" applyProtection="1">
      <alignment horizontal="center"/>
      <protection hidden="1"/>
    </xf>
    <xf numFmtId="168" fontId="19" fillId="0" borderId="23" xfId="22" applyNumberFormat="1" applyFont="1" applyFill="1" applyBorder="1" applyAlignment="1" applyProtection="1">
      <alignment horizontal="center"/>
      <protection hidden="1"/>
    </xf>
    <xf numFmtId="2" fontId="20" fillId="4" borderId="5" xfId="22" applyNumberFormat="1" applyFont="1" applyFill="1" applyBorder="1" applyAlignment="1" applyProtection="1">
      <alignment horizontal="center" vertical="center"/>
      <protection locked="0"/>
    </xf>
    <xf numFmtId="4" fontId="20" fillId="4" borderId="27" xfId="22" applyNumberFormat="1" applyFont="1" applyFill="1" applyBorder="1" applyAlignment="1" applyProtection="1">
      <alignment horizontal="center"/>
      <protection locked="0"/>
    </xf>
    <xf numFmtId="2" fontId="19" fillId="0" borderId="21" xfId="22" applyNumberFormat="1" applyFont="1" applyFill="1" applyBorder="1" applyAlignment="1" applyProtection="1">
      <alignment horizontal="center"/>
      <protection hidden="1"/>
    </xf>
    <xf numFmtId="4" fontId="19" fillId="0" borderId="21" xfId="22" applyNumberFormat="1" applyFont="1" applyFill="1" applyBorder="1" applyAlignment="1" applyProtection="1">
      <alignment horizontal="center"/>
      <protection hidden="1"/>
    </xf>
    <xf numFmtId="4" fontId="22" fillId="5" borderId="16" xfId="22" applyFont="1" applyFill="1" applyBorder="1" applyAlignment="1" applyProtection="1">
      <alignment horizontal="center"/>
      <protection hidden="1"/>
    </xf>
    <xf numFmtId="4" fontId="22" fillId="5" borderId="34" xfId="22" applyFont="1" applyFill="1" applyBorder="1" applyAlignment="1" applyProtection="1">
      <alignment horizontal="center"/>
      <protection hidden="1"/>
    </xf>
    <xf numFmtId="4" fontId="19" fillId="5" borderId="10" xfId="22" applyFont="1" applyFill="1" applyBorder="1" applyAlignment="1" applyProtection="1">
      <alignment horizontal="center"/>
      <protection hidden="1"/>
    </xf>
    <xf numFmtId="4" fontId="19" fillId="5" borderId="33" xfId="22" applyFont="1" applyFill="1" applyBorder="1" applyAlignment="1" applyProtection="1">
      <alignment horizontal="center"/>
      <protection hidden="1"/>
    </xf>
    <xf numFmtId="4" fontId="15" fillId="5" borderId="10" xfId="22" applyFont="1" applyFill="1" applyBorder="1" applyAlignment="1" applyProtection="1">
      <alignment horizontal="center"/>
      <protection hidden="1"/>
    </xf>
    <xf numFmtId="4" fontId="15" fillId="5" borderId="2" xfId="22" applyFont="1" applyFill="1" applyBorder="1" applyAlignment="1" applyProtection="1">
      <alignment horizontal="center"/>
      <protection hidden="1"/>
    </xf>
    <xf numFmtId="4" fontId="15" fillId="5" borderId="33" xfId="22" applyFont="1" applyFill="1" applyBorder="1" applyAlignment="1" applyProtection="1">
      <alignment horizontal="center"/>
      <protection hidden="1"/>
    </xf>
    <xf numFmtId="4" fontId="15" fillId="5" borderId="18" xfId="22" applyFont="1" applyFill="1" applyBorder="1" applyAlignment="1" applyProtection="1">
      <alignment horizontal="center"/>
      <protection hidden="1"/>
    </xf>
    <xf numFmtId="4" fontId="15" fillId="5" borderId="19" xfId="22" applyFont="1" applyFill="1" applyBorder="1" applyAlignment="1" applyProtection="1">
      <alignment horizontal="center"/>
      <protection hidden="1"/>
    </xf>
    <xf numFmtId="4" fontId="15" fillId="5" borderId="36" xfId="22" applyFont="1" applyFill="1" applyBorder="1" applyAlignment="1" applyProtection="1">
      <alignment horizontal="center"/>
      <protection hidden="1"/>
    </xf>
    <xf numFmtId="4" fontId="4" fillId="2" borderId="0" xfId="22" applyFont="1" applyFill="1" applyBorder="1" applyAlignment="1" applyProtection="1">
      <alignment horizontal="left"/>
      <protection/>
    </xf>
    <xf numFmtId="4" fontId="19" fillId="5" borderId="12" xfId="22" applyFont="1" applyFill="1" applyBorder="1" applyAlignment="1" applyProtection="1">
      <alignment horizontal="center"/>
      <protection hidden="1"/>
    </xf>
    <xf numFmtId="4" fontId="19" fillId="5" borderId="37" xfId="22" applyFont="1" applyFill="1" applyBorder="1" applyAlignment="1" applyProtection="1">
      <alignment horizontal="center"/>
      <protection hidden="1"/>
    </xf>
    <xf numFmtId="4" fontId="19" fillId="5" borderId="38" xfId="22" applyFont="1" applyFill="1" applyBorder="1" applyAlignment="1" applyProtection="1">
      <alignment horizontal="center"/>
      <protection hidden="1"/>
    </xf>
    <xf numFmtId="168" fontId="19" fillId="5" borderId="11" xfId="22" applyNumberFormat="1" applyFont="1" applyFill="1" applyBorder="1" applyAlignment="1" applyProtection="1">
      <alignment horizontal="left"/>
      <protection hidden="1"/>
    </xf>
    <xf numFmtId="168" fontId="19" fillId="5" borderId="29" xfId="22" applyNumberFormat="1" applyFont="1" applyFill="1" applyBorder="1" applyAlignment="1" applyProtection="1">
      <alignment horizontal="left"/>
      <protection hidden="1"/>
    </xf>
    <xf numFmtId="168" fontId="19" fillId="5" borderId="30" xfId="22" applyNumberFormat="1" applyFont="1" applyFill="1" applyBorder="1" applyAlignment="1" applyProtection="1">
      <alignment horizontal="left"/>
      <protection hidden="1"/>
    </xf>
    <xf numFmtId="168" fontId="19" fillId="5" borderId="32" xfId="22" applyNumberFormat="1" applyFont="1" applyFill="1" applyBorder="1" applyAlignment="1" applyProtection="1">
      <alignment horizontal="left"/>
      <protection hidden="1"/>
    </xf>
    <xf numFmtId="4" fontId="19" fillId="5" borderId="16" xfId="22" applyFont="1" applyFill="1" applyBorder="1" applyAlignment="1" applyProtection="1">
      <alignment horizontal="left"/>
      <protection hidden="1"/>
    </xf>
    <xf numFmtId="4" fontId="19" fillId="5" borderId="34" xfId="22" applyFont="1" applyFill="1" applyBorder="1" applyAlignment="1" applyProtection="1">
      <alignment horizontal="left"/>
      <protection hidden="1"/>
    </xf>
    <xf numFmtId="4" fontId="19" fillId="5" borderId="18" xfId="22" applyFont="1" applyFill="1" applyBorder="1" applyAlignment="1" applyProtection="1">
      <alignment horizontal="center"/>
      <protection locked="0"/>
    </xf>
    <xf numFmtId="4" fontId="19" fillId="5" borderId="36" xfId="22" applyFont="1" applyFill="1" applyBorder="1" applyAlignment="1" applyProtection="1">
      <alignment horizontal="center"/>
      <protection locked="0"/>
    </xf>
    <xf numFmtId="4" fontId="17" fillId="3" borderId="35" xfId="22" applyFont="1" applyFill="1" applyBorder="1" applyAlignment="1" applyProtection="1">
      <alignment horizontal="center" vertical="center"/>
      <protection hidden="1"/>
    </xf>
    <xf numFmtId="4" fontId="17" fillId="3" borderId="3" xfId="22" applyFont="1" applyFill="1" applyBorder="1" applyAlignment="1" applyProtection="1">
      <alignment horizontal="center" vertical="center"/>
      <protection hidden="1"/>
    </xf>
    <xf numFmtId="4" fontId="19" fillId="5" borderId="18" xfId="22" applyFont="1" applyFill="1" applyBorder="1" applyAlignment="1" applyProtection="1">
      <alignment horizontal="right" vertical="center"/>
      <protection hidden="1"/>
    </xf>
    <xf numFmtId="4" fontId="19" fillId="5" borderId="36" xfId="22" applyFont="1" applyFill="1" applyBorder="1" applyAlignment="1" applyProtection="1">
      <alignment horizontal="right" vertical="center"/>
      <protection hidden="1"/>
    </xf>
    <xf numFmtId="4" fontId="14" fillId="7" borderId="16" xfId="22" applyFont="1" applyFill="1" applyBorder="1" applyAlignment="1" applyProtection="1">
      <alignment horizontal="center" vertical="center"/>
      <protection hidden="1"/>
    </xf>
    <xf numFmtId="4" fontId="14" fillId="7" borderId="39" xfId="22" applyFont="1" applyFill="1" applyBorder="1" applyAlignment="1" applyProtection="1">
      <alignment horizontal="center" vertical="center"/>
      <protection hidden="1"/>
    </xf>
    <xf numFmtId="4" fontId="14" fillId="7" borderId="34" xfId="22" applyFont="1" applyFill="1" applyBorder="1" applyAlignment="1" applyProtection="1">
      <alignment horizontal="center" vertical="center"/>
      <protection hidden="1"/>
    </xf>
    <xf numFmtId="4" fontId="14" fillId="7" borderId="10" xfId="22" applyFont="1" applyFill="1" applyBorder="1" applyAlignment="1" applyProtection="1">
      <alignment horizontal="center" vertical="center"/>
      <protection hidden="1"/>
    </xf>
    <xf numFmtId="4" fontId="14" fillId="7" borderId="2" xfId="22" applyFont="1" applyFill="1" applyBorder="1" applyAlignment="1" applyProtection="1">
      <alignment horizontal="center" vertical="center"/>
      <protection hidden="1"/>
    </xf>
    <xf numFmtId="4" fontId="14" fillId="7" borderId="33" xfId="22" applyFont="1" applyFill="1" applyBorder="1" applyAlignment="1" applyProtection="1">
      <alignment horizontal="center" vertical="center"/>
      <protection hidden="1"/>
    </xf>
    <xf numFmtId="4" fontId="19" fillId="5" borderId="18" xfId="22" applyFont="1" applyFill="1" applyBorder="1" applyProtection="1">
      <alignment/>
      <protection hidden="1"/>
    </xf>
    <xf numFmtId="4" fontId="19" fillId="5" borderId="36" xfId="22" applyFont="1" applyFill="1" applyBorder="1" applyProtection="1">
      <alignment/>
      <protection hidden="1"/>
    </xf>
    <xf numFmtId="4" fontId="15" fillId="5" borderId="18" xfId="22" applyFont="1" applyFill="1" applyBorder="1" applyAlignment="1" applyProtection="1">
      <alignment horizontal="center" vertical="center"/>
      <protection/>
    </xf>
    <xf numFmtId="4" fontId="15" fillId="5" borderId="19" xfId="22" applyFont="1" applyFill="1" applyBorder="1" applyAlignment="1" applyProtection="1">
      <alignment horizontal="center" vertical="center"/>
      <protection/>
    </xf>
    <xf numFmtId="4" fontId="15" fillId="5" borderId="34" xfId="22" applyFont="1" applyFill="1" applyBorder="1" applyAlignment="1" applyProtection="1">
      <alignment horizontal="center" vertical="center"/>
      <protection/>
    </xf>
    <xf numFmtId="4" fontId="13" fillId="8" borderId="18" xfId="22" applyFont="1" applyFill="1" applyBorder="1" applyAlignment="1" applyProtection="1">
      <alignment horizontal="center" vertical="center"/>
      <protection hidden="1"/>
    </xf>
    <xf numFmtId="4" fontId="13" fillId="8" borderId="19" xfId="22" applyFont="1" applyFill="1" applyBorder="1" applyAlignment="1" applyProtection="1">
      <alignment horizontal="center" vertical="center"/>
      <protection hidden="1"/>
    </xf>
    <xf numFmtId="4" fontId="13" fillId="8" borderId="36" xfId="22" applyFont="1" applyFill="1" applyBorder="1" applyAlignment="1" applyProtection="1">
      <alignment horizontal="center" vertical="center"/>
      <protection hidden="1"/>
    </xf>
    <xf numFmtId="4" fontId="13" fillId="9" borderId="10" xfId="22" applyFont="1" applyFill="1" applyBorder="1" applyAlignment="1" applyProtection="1">
      <alignment horizontal="center" vertical="center"/>
      <protection hidden="1"/>
    </xf>
    <xf numFmtId="4" fontId="13" fillId="9" borderId="2" xfId="22" applyFont="1" applyFill="1" applyBorder="1" applyAlignment="1" applyProtection="1">
      <alignment horizontal="center" vertical="center"/>
      <protection hidden="1"/>
    </xf>
    <xf numFmtId="4" fontId="13" fillId="9" borderId="33" xfId="22" applyFont="1" applyFill="1" applyBorder="1" applyAlignment="1" applyProtection="1">
      <alignment horizontal="center" vertical="center"/>
      <protection hidden="1"/>
    </xf>
    <xf numFmtId="4" fontId="13" fillId="6" borderId="18" xfId="22" applyFont="1" applyFill="1" applyBorder="1" applyAlignment="1" applyProtection="1">
      <alignment horizontal="left" vertical="center"/>
      <protection hidden="1"/>
    </xf>
    <xf numFmtId="4" fontId="13" fillId="6" borderId="36" xfId="22" applyFont="1" applyFill="1" applyBorder="1" applyAlignment="1" applyProtection="1">
      <alignment horizontal="left" vertical="center"/>
      <protection hidden="1"/>
    </xf>
    <xf numFmtId="4" fontId="19" fillId="3" borderId="16" xfId="22" applyFont="1" applyFill="1" applyBorder="1" applyProtection="1">
      <alignment/>
      <protection/>
    </xf>
    <xf numFmtId="4" fontId="19" fillId="3" borderId="34" xfId="22" applyFont="1" applyFill="1" applyBorder="1" applyProtection="1">
      <alignment/>
      <protection/>
    </xf>
    <xf numFmtId="4" fontId="18" fillId="0" borderId="30" xfId="22" applyFont="1" applyBorder="1" applyProtection="1">
      <alignment/>
      <protection/>
    </xf>
    <xf numFmtId="4" fontId="18" fillId="0" borderId="31" xfId="22" applyFont="1" applyBorder="1" applyProtection="1">
      <alignment/>
      <protection/>
    </xf>
    <xf numFmtId="4" fontId="18" fillId="0" borderId="9" xfId="22" applyFont="1" applyBorder="1" applyProtection="1">
      <alignment/>
      <protection/>
    </xf>
    <xf numFmtId="4" fontId="18" fillId="0" borderId="26" xfId="22" applyFont="1" applyBorder="1" applyProtection="1">
      <alignment/>
      <protection/>
    </xf>
    <xf numFmtId="4" fontId="18" fillId="0" borderId="11" xfId="22" applyFont="1" applyBorder="1" applyProtection="1">
      <alignment/>
      <protection/>
    </xf>
    <xf numFmtId="4" fontId="18" fillId="0" borderId="28" xfId="22" applyFont="1" applyBorder="1" applyProtection="1">
      <alignment/>
      <protection/>
    </xf>
  </cellXfs>
  <cellStyles count="11">
    <cellStyle name="Normal" xfId="0"/>
    <cellStyle name="Hyperlink" xfId="15"/>
    <cellStyle name="Followed Hyperlink" xfId="16"/>
    <cellStyle name="Comma" xfId="17"/>
    <cellStyle name="Comma [0]" xfId="18"/>
    <cellStyle name="Millares_ALCALIMETRO n" xfId="19"/>
    <cellStyle name="Currency" xfId="20"/>
    <cellStyle name="Currency [0]" xfId="21"/>
    <cellStyle name="Normal_ALCALIMETRO n" xfId="22"/>
    <cellStyle name="Normal_Calculo de pH en general" xfId="23"/>
    <cellStyle name="Percent" xfId="24"/>
  </cellStyles>
  <dxfs count="2">
    <dxf>
      <font>
        <b/>
        <i val="0"/>
        <color rgb="FFFFFFFF"/>
      </font>
      <fill>
        <patternFill>
          <bgColor rgb="FFDD0806"/>
        </patternFill>
      </fill>
      <border/>
    </dxf>
    <dxf>
      <font>
        <color auto="1"/>
      </font>
      <fill>
        <patternFill>
          <bgColor rgb="FFFFFFFF"/>
        </patternFill>
      </fill>
      <border/>
    </dxf>
  </dxf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Hoja4">
    <pageSetUpPr fitToPage="1"/>
  </sheetPr>
  <dimension ref="A1:N68"/>
  <sheetViews>
    <sheetView showGridLines="0" tabSelected="1" workbookViewId="0" topLeftCell="A1">
      <selection activeCell="D7" sqref="D7:E7"/>
    </sheetView>
  </sheetViews>
  <sheetFormatPr defaultColWidth="11.00390625" defaultRowHeight="12.75"/>
  <cols>
    <col min="1" max="1" width="1.875" style="4" customWidth="1"/>
    <col min="2" max="2" width="3.875" style="4" customWidth="1"/>
    <col min="3" max="3" width="10.125" style="4" customWidth="1"/>
    <col min="4" max="4" width="13.875" style="4" customWidth="1"/>
    <col min="5" max="5" width="16.625" style="4" customWidth="1"/>
    <col min="6" max="6" width="15.875" style="4" customWidth="1"/>
    <col min="7" max="7" width="28.00390625" style="4" customWidth="1"/>
    <col min="8" max="8" width="20.00390625" style="4" customWidth="1"/>
    <col min="9" max="9" width="1.00390625" style="4" customWidth="1"/>
    <col min="10" max="10" width="16.375" style="4" customWidth="1"/>
    <col min="11" max="11" width="11.00390625" style="4" bestFit="1" customWidth="1"/>
    <col min="12" max="12" width="6.875" style="4" customWidth="1"/>
    <col min="13" max="14" width="28.375" style="4" customWidth="1"/>
    <col min="15" max="16384" width="11.375" style="4" customWidth="1"/>
  </cols>
  <sheetData>
    <row r="1" spans="1:14" ht="5.25" customHeight="1" thickBot="1">
      <c r="A1" s="1"/>
      <c r="B1" s="2"/>
      <c r="C1" s="2"/>
      <c r="D1" s="2"/>
      <c r="E1" s="2"/>
      <c r="F1" s="2"/>
      <c r="G1" s="3"/>
      <c r="H1" s="3"/>
      <c r="I1" s="3"/>
      <c r="J1" s="3"/>
      <c r="K1" s="2"/>
      <c r="L1" s="2"/>
      <c r="M1" s="5"/>
      <c r="N1" s="5"/>
    </row>
    <row r="2" spans="1:14" ht="13.5" customHeight="1" thickBot="1">
      <c r="A2" s="1"/>
      <c r="B2" s="262" t="s">
        <v>15</v>
      </c>
      <c r="C2" s="263"/>
      <c r="D2" s="264"/>
      <c r="E2" s="251" t="s">
        <v>16</v>
      </c>
      <c r="F2" s="252"/>
      <c r="G2" s="252"/>
      <c r="H2" s="253"/>
      <c r="I2" s="3"/>
      <c r="J2" s="3"/>
      <c r="K2" s="2"/>
      <c r="L2" s="2"/>
      <c r="M2" s="5"/>
      <c r="N2" s="5"/>
    </row>
    <row r="3" spans="1:14" ht="12.75" customHeight="1" thickBot="1">
      <c r="A3" s="1"/>
      <c r="B3" s="265" t="s">
        <v>17</v>
      </c>
      <c r="C3" s="266"/>
      <c r="D3" s="267"/>
      <c r="E3" s="254"/>
      <c r="F3" s="255"/>
      <c r="G3" s="255"/>
      <c r="H3" s="256"/>
      <c r="I3" s="3"/>
      <c r="J3" s="3"/>
      <c r="K3" s="2"/>
      <c r="L3" s="2"/>
      <c r="M3" s="5"/>
      <c r="N3" s="5"/>
    </row>
    <row r="4" spans="1:14" ht="15" customHeight="1" thickBot="1">
      <c r="A4" s="1"/>
      <c r="B4" s="268" t="s">
        <v>18</v>
      </c>
      <c r="C4" s="269"/>
      <c r="D4" s="139" t="s">
        <v>26</v>
      </c>
      <c r="E4" s="139" t="s">
        <v>108</v>
      </c>
      <c r="F4" s="77"/>
      <c r="G4" s="77"/>
      <c r="H4" s="140"/>
      <c r="I4" s="3"/>
      <c r="J4" s="3"/>
      <c r="K4" s="2"/>
      <c r="L4" s="2"/>
      <c r="M4" s="5"/>
      <c r="N4" s="5"/>
    </row>
    <row r="5" spans="1:14" ht="19.5" customHeight="1" thickBot="1">
      <c r="A5" s="1"/>
      <c r="B5" s="259" t="s">
        <v>19</v>
      </c>
      <c r="C5" s="260"/>
      <c r="D5" s="260"/>
      <c r="E5" s="260"/>
      <c r="F5" s="260"/>
      <c r="G5" s="260"/>
      <c r="H5" s="261"/>
      <c r="I5" s="2"/>
      <c r="J5" s="210" t="s">
        <v>98</v>
      </c>
      <c r="K5" s="108" t="s">
        <v>80</v>
      </c>
      <c r="L5" s="2"/>
      <c r="M5" s="5"/>
      <c r="N5" s="5"/>
    </row>
    <row r="6" spans="1:14" ht="5.25" customHeight="1" thickBot="1">
      <c r="A6" s="1"/>
      <c r="B6" s="6"/>
      <c r="C6" s="7"/>
      <c r="D6" s="7"/>
      <c r="E6" s="7"/>
      <c r="F6" s="8"/>
      <c r="G6" s="7"/>
      <c r="H6" s="247" t="s">
        <v>58</v>
      </c>
      <c r="I6" s="2"/>
      <c r="J6" s="102"/>
      <c r="K6" s="103"/>
      <c r="L6" s="2"/>
      <c r="M6" s="5"/>
      <c r="N6" s="5"/>
    </row>
    <row r="7" spans="1:14" ht="17.25" customHeight="1" thickBot="1">
      <c r="A7" s="1"/>
      <c r="B7" s="9"/>
      <c r="C7" s="10"/>
      <c r="D7" s="249" t="s">
        <v>20</v>
      </c>
      <c r="E7" s="250"/>
      <c r="F7" s="221">
        <v>8.3</v>
      </c>
      <c r="G7" s="10"/>
      <c r="H7" s="248"/>
      <c r="I7" s="2"/>
      <c r="J7" s="211" t="s">
        <v>8</v>
      </c>
      <c r="K7" s="222">
        <v>2.125</v>
      </c>
      <c r="L7" s="2"/>
      <c r="M7" s="5"/>
      <c r="N7" s="5"/>
    </row>
    <row r="8" spans="1:14" ht="13.5" thickBot="1">
      <c r="A8" s="1" t="s">
        <v>0</v>
      </c>
      <c r="B8" s="9"/>
      <c r="C8" s="10"/>
      <c r="D8" s="11"/>
      <c r="E8" s="11"/>
      <c r="F8" s="12"/>
      <c r="G8" s="10"/>
      <c r="H8" s="13" t="s">
        <v>21</v>
      </c>
      <c r="I8" s="2"/>
      <c r="J8" s="211" t="s">
        <v>9</v>
      </c>
      <c r="K8" s="222">
        <v>7.208</v>
      </c>
      <c r="L8" s="2"/>
      <c r="M8" s="5"/>
      <c r="N8" s="5"/>
    </row>
    <row r="9" spans="1:14" ht="13.5" thickBot="1">
      <c r="A9" s="1"/>
      <c r="B9" s="9"/>
      <c r="C9" s="10"/>
      <c r="D9" s="249" t="s">
        <v>22</v>
      </c>
      <c r="E9" s="250"/>
      <c r="F9" s="14">
        <v>100</v>
      </c>
      <c r="G9" s="10"/>
      <c r="H9" s="15">
        <v>1</v>
      </c>
      <c r="I9" s="1"/>
      <c r="J9" s="211" t="s">
        <v>10</v>
      </c>
      <c r="K9" s="222">
        <v>12.319</v>
      </c>
      <c r="L9" s="2"/>
      <c r="M9" s="17"/>
      <c r="N9" s="17"/>
    </row>
    <row r="10" spans="1:13" ht="13.5" thickBot="1">
      <c r="A10" s="1"/>
      <c r="B10" s="9"/>
      <c r="C10" s="10"/>
      <c r="D10" s="11"/>
      <c r="E10" s="11"/>
      <c r="F10" s="12"/>
      <c r="G10" s="10"/>
      <c r="H10" s="19">
        <f>H9*1000</f>
        <v>1000</v>
      </c>
      <c r="I10" s="1"/>
      <c r="J10" s="211" t="s">
        <v>92</v>
      </c>
      <c r="K10" s="109">
        <v>98</v>
      </c>
      <c r="L10" s="2"/>
      <c r="M10" s="18"/>
    </row>
    <row r="11" spans="1:14" ht="13.5" thickBot="1">
      <c r="A11" s="1"/>
      <c r="B11" s="20"/>
      <c r="C11" s="5"/>
      <c r="D11" s="11"/>
      <c r="E11" s="21"/>
      <c r="F11" s="22"/>
      <c r="G11" s="10"/>
      <c r="H11" s="23" t="s">
        <v>23</v>
      </c>
      <c r="I11" s="1"/>
      <c r="J11" s="211" t="s">
        <v>82</v>
      </c>
      <c r="K11" s="110">
        <v>0.85</v>
      </c>
      <c r="L11" s="2"/>
      <c r="M11" s="17"/>
      <c r="N11" s="17"/>
    </row>
    <row r="12" spans="1:14" ht="18.75" customHeight="1" thickBot="1">
      <c r="A12" s="1"/>
      <c r="B12" s="9"/>
      <c r="C12" s="10"/>
      <c r="D12" s="249" t="s">
        <v>24</v>
      </c>
      <c r="E12" s="250"/>
      <c r="F12" s="14">
        <v>5</v>
      </c>
      <c r="G12" s="10"/>
      <c r="H12" s="24">
        <v>7</v>
      </c>
      <c r="I12" s="25"/>
      <c r="J12" s="211" t="s">
        <v>93</v>
      </c>
      <c r="K12" s="111">
        <v>1.711</v>
      </c>
      <c r="L12" s="2"/>
      <c r="M12" s="17"/>
      <c r="N12" s="17"/>
    </row>
    <row r="13" spans="1:14" ht="13.5" thickBot="1">
      <c r="A13" s="1"/>
      <c r="B13" s="9"/>
      <c r="C13" s="10"/>
      <c r="D13" s="26"/>
      <c r="E13" s="27"/>
      <c r="F13" s="26"/>
      <c r="G13" s="10"/>
      <c r="H13" s="28" t="s">
        <v>25</v>
      </c>
      <c r="I13" s="16"/>
      <c r="J13" s="104"/>
      <c r="K13" s="105"/>
      <c r="L13" s="2"/>
      <c r="M13" s="17"/>
      <c r="N13" s="17"/>
    </row>
    <row r="14" spans="1:14" ht="18" customHeight="1" thickBot="1">
      <c r="A14" s="1"/>
      <c r="B14" s="9"/>
      <c r="C14" s="10"/>
      <c r="D14" s="10"/>
      <c r="E14" s="10"/>
      <c r="F14" s="10"/>
      <c r="G14" s="10"/>
      <c r="H14" s="138">
        <f>Metodo!P14</f>
        <v>2.387835132801419</v>
      </c>
      <c r="I14" s="29"/>
      <c r="J14" s="257" t="s">
        <v>99</v>
      </c>
      <c r="K14" s="258"/>
      <c r="L14" s="2"/>
      <c r="M14" s="17"/>
      <c r="N14" s="17"/>
    </row>
    <row r="15" spans="1:14" ht="13.5" thickBot="1">
      <c r="A15" s="1"/>
      <c r="B15" s="9"/>
      <c r="C15" s="10"/>
      <c r="D15" s="245" t="str">
        <f>IF(H16=1,"Revise la data de entrada","Pulse el botón -Calcular-")</f>
        <v>Pulse el botón -Calcular-</v>
      </c>
      <c r="E15" s="246"/>
      <c r="F15" s="30"/>
      <c r="G15" s="30"/>
      <c r="H15" s="31"/>
      <c r="I15" s="1"/>
      <c r="J15" s="212" t="s">
        <v>83</v>
      </c>
      <c r="K15" s="106">
        <f>Metodo!M67/1000</f>
        <v>0.22082958421468887</v>
      </c>
      <c r="L15" s="2"/>
      <c r="M15" s="17"/>
      <c r="N15" s="17"/>
    </row>
    <row r="16" spans="1:14" ht="13.5" customHeight="1" thickBot="1">
      <c r="A16" s="1"/>
      <c r="B16" s="141"/>
      <c r="C16" s="142"/>
      <c r="D16" s="32"/>
      <c r="E16" s="32"/>
      <c r="F16" s="32"/>
      <c r="G16" s="32"/>
      <c r="H16" s="86">
        <f>IF(OR(D20&lt;D24,F19&lt;F23,F20&lt;F24,F21&lt;F25),1,0)</f>
        <v>0</v>
      </c>
      <c r="I16" s="1"/>
      <c r="J16" s="213" t="s">
        <v>84</v>
      </c>
      <c r="K16" s="107">
        <f>Metodo!M71</f>
        <v>0.1290646313352945</v>
      </c>
      <c r="L16" s="2"/>
      <c r="M16" s="17"/>
      <c r="N16" s="17"/>
    </row>
    <row r="17" spans="1:14" ht="18" customHeight="1" thickBot="1">
      <c r="A17" s="1"/>
      <c r="B17" s="229" t="s">
        <v>27</v>
      </c>
      <c r="C17" s="230"/>
      <c r="D17" s="230"/>
      <c r="E17" s="230"/>
      <c r="F17" s="230"/>
      <c r="G17" s="230"/>
      <c r="H17" s="231"/>
      <c r="I17" s="33"/>
      <c r="J17" s="33"/>
      <c r="K17" s="33"/>
      <c r="L17" s="2"/>
      <c r="M17" s="17"/>
      <c r="N17" s="17"/>
    </row>
    <row r="18" spans="1:14" ht="18" customHeight="1" thickBot="1">
      <c r="A18" s="1"/>
      <c r="B18" s="232" t="s">
        <v>28</v>
      </c>
      <c r="C18" s="233"/>
      <c r="D18" s="233"/>
      <c r="E18" s="233"/>
      <c r="F18" s="234"/>
      <c r="G18" s="34"/>
      <c r="H18" s="34"/>
      <c r="I18" s="2"/>
      <c r="J18" s="2"/>
      <c r="K18" s="2"/>
      <c r="L18" s="2"/>
      <c r="M18" s="17"/>
      <c r="N18" s="17"/>
    </row>
    <row r="19" spans="1:14" ht="15.75" thickBot="1">
      <c r="A19" s="1"/>
      <c r="B19" s="35"/>
      <c r="C19" s="36"/>
      <c r="D19" s="36"/>
      <c r="E19" s="37" t="s">
        <v>29</v>
      </c>
      <c r="F19" s="217">
        <f>Metodo!C15+Metodo!C9+Metodo!C12</f>
        <v>1.998201618543311</v>
      </c>
      <c r="G19" s="225" t="s">
        <v>30</v>
      </c>
      <c r="H19" s="226"/>
      <c r="I19" s="2"/>
      <c r="J19" s="2"/>
      <c r="K19" s="2"/>
      <c r="L19" s="2"/>
      <c r="M19" s="17"/>
      <c r="N19" s="17"/>
    </row>
    <row r="20" spans="1:14" ht="16.5" thickBot="1">
      <c r="A20" s="1"/>
      <c r="B20" s="35"/>
      <c r="C20" s="38" t="s">
        <v>1</v>
      </c>
      <c r="D20" s="223">
        <f>F7</f>
        <v>8.3</v>
      </c>
      <c r="E20" s="39" t="s">
        <v>59</v>
      </c>
      <c r="F20" s="218">
        <f>Metodo!C10+Metodo!C13+Metodo!C16</f>
        <v>121.92626636027575</v>
      </c>
      <c r="G20" s="227" t="s">
        <v>31</v>
      </c>
      <c r="H20" s="228"/>
      <c r="I20" s="2"/>
      <c r="J20" s="2"/>
      <c r="K20" s="2"/>
      <c r="L20" s="2"/>
      <c r="M20" s="17"/>
      <c r="N20" s="17"/>
    </row>
    <row r="21" spans="1:14" ht="16.5" thickBot="1">
      <c r="A21" s="1"/>
      <c r="B21" s="40"/>
      <c r="C21" s="41"/>
      <c r="D21" s="42"/>
      <c r="E21" s="43" t="s">
        <v>60</v>
      </c>
      <c r="F21" s="219">
        <f>Metodo!C11+Metodo!C14+Metodo!C17</f>
        <v>100</v>
      </c>
      <c r="G21" s="44" t="s">
        <v>32</v>
      </c>
      <c r="H21" s="45">
        <f>E35/19%/1000</f>
        <v>0.31250588313947647</v>
      </c>
      <c r="I21" s="2"/>
      <c r="J21" s="2"/>
      <c r="K21" s="2"/>
      <c r="L21" s="2"/>
      <c r="M21" s="17"/>
      <c r="N21" s="17"/>
    </row>
    <row r="22" spans="1:14" ht="16.5" customHeight="1" thickBot="1">
      <c r="A22" s="1"/>
      <c r="B22" s="232" t="s">
        <v>33</v>
      </c>
      <c r="C22" s="233"/>
      <c r="D22" s="233"/>
      <c r="E22" s="233"/>
      <c r="F22" s="234"/>
      <c r="G22" s="46" t="s">
        <v>34</v>
      </c>
      <c r="H22" s="47">
        <f>H21*100</f>
        <v>31.250588313947645</v>
      </c>
      <c r="I22" s="2"/>
      <c r="J22" s="2"/>
      <c r="K22" s="2"/>
      <c r="L22" s="2"/>
      <c r="M22" s="17"/>
      <c r="N22" s="17"/>
    </row>
    <row r="23" spans="1:14" ht="13.5" thickBot="1">
      <c r="A23" s="1"/>
      <c r="B23" s="35"/>
      <c r="C23" s="36"/>
      <c r="D23" s="36"/>
      <c r="E23" s="37" t="s">
        <v>29</v>
      </c>
      <c r="F23" s="217">
        <f>Metodo!D21</f>
        <v>0.07360219645469601</v>
      </c>
      <c r="G23" s="48" t="s">
        <v>35</v>
      </c>
      <c r="H23" s="49" t="s">
        <v>36</v>
      </c>
      <c r="I23" s="2"/>
      <c r="J23" s="2"/>
      <c r="K23" s="2"/>
      <c r="L23" s="2"/>
      <c r="M23" s="17"/>
      <c r="N23" s="17"/>
    </row>
    <row r="24" spans="1:14" ht="16.5" thickBot="1">
      <c r="A24" s="16"/>
      <c r="B24" s="35"/>
      <c r="C24" s="38" t="s">
        <v>1</v>
      </c>
      <c r="D24" s="224">
        <f>Metodo!D20</f>
        <v>5</v>
      </c>
      <c r="E24" s="39" t="s">
        <v>59</v>
      </c>
      <c r="F24" s="218">
        <f>Metodo!D22</f>
        <v>4.491058823272641</v>
      </c>
      <c r="G24" s="50" t="s">
        <v>37</v>
      </c>
      <c r="H24" s="51" t="str">
        <f>ROUND((H21*1000*(19%)),0)&amp;" + "&amp;ROUND((H21*1000*(17%)),0)</f>
        <v>59 + 53</v>
      </c>
      <c r="I24" s="2"/>
      <c r="J24" s="2"/>
      <c r="K24" s="2"/>
      <c r="L24" s="2"/>
      <c r="M24" s="17"/>
      <c r="N24" s="17"/>
    </row>
    <row r="25" spans="1:14" ht="16.5" thickBot="1">
      <c r="A25" s="1"/>
      <c r="B25" s="35"/>
      <c r="C25" s="52"/>
      <c r="D25" s="36"/>
      <c r="E25" s="53" t="s">
        <v>60</v>
      </c>
      <c r="F25" s="220">
        <f>Metodo!D23</f>
        <v>3.683421921575262</v>
      </c>
      <c r="G25" s="34"/>
      <c r="H25" s="34"/>
      <c r="I25" s="2"/>
      <c r="J25" s="2"/>
      <c r="K25" s="2"/>
      <c r="L25" s="2"/>
      <c r="M25" s="17"/>
      <c r="N25" s="17"/>
    </row>
    <row r="26" spans="1:14" ht="16.5" thickBot="1">
      <c r="A26" s="2"/>
      <c r="B26" s="40"/>
      <c r="C26" s="54"/>
      <c r="D26" s="55"/>
      <c r="E26" s="56" t="s">
        <v>61</v>
      </c>
      <c r="F26" s="57">
        <f>IF(Metodo!J40/F19&gt;1,1,Metodo!J40/F19)</f>
        <v>0.9631657807842474</v>
      </c>
      <c r="G26" s="34"/>
      <c r="H26" s="34"/>
      <c r="I26" s="2"/>
      <c r="J26" s="2"/>
      <c r="K26" s="2"/>
      <c r="L26" s="2"/>
      <c r="M26" s="5"/>
      <c r="N26" s="5"/>
    </row>
    <row r="27" spans="1:14" ht="13.5" thickBot="1">
      <c r="A27" s="2"/>
      <c r="B27" s="58"/>
      <c r="C27" s="58"/>
      <c r="D27" s="58"/>
      <c r="E27" s="58"/>
      <c r="F27" s="58"/>
      <c r="G27" s="58"/>
      <c r="H27" s="58"/>
      <c r="I27" s="2"/>
      <c r="J27" s="2"/>
      <c r="K27" s="2"/>
      <c r="L27" s="2"/>
      <c r="M27" s="5"/>
      <c r="N27" s="5"/>
    </row>
    <row r="28" spans="1:14" ht="12.75">
      <c r="A28" s="2"/>
      <c r="B28" s="58"/>
      <c r="C28" s="58"/>
      <c r="D28" s="58"/>
      <c r="E28" s="236" t="s">
        <v>38</v>
      </c>
      <c r="F28" s="237"/>
      <c r="G28" s="238"/>
      <c r="H28" s="58"/>
      <c r="I28" s="2"/>
      <c r="J28" s="2"/>
      <c r="K28" s="59"/>
      <c r="L28" s="2"/>
      <c r="M28" s="5"/>
      <c r="N28" s="5"/>
    </row>
    <row r="29" spans="1:14" ht="20.25" customHeight="1">
      <c r="A29" s="2"/>
      <c r="B29" s="60"/>
      <c r="C29" s="58"/>
      <c r="D29" s="58"/>
      <c r="E29" s="61" t="s">
        <v>39</v>
      </c>
      <c r="F29" s="62" t="s">
        <v>40</v>
      </c>
      <c r="G29" s="63" t="s">
        <v>41</v>
      </c>
      <c r="H29" s="58"/>
      <c r="I29" s="2"/>
      <c r="J29" s="2"/>
      <c r="K29" s="2"/>
      <c r="L29" s="2"/>
      <c r="M29" s="5"/>
      <c r="N29" s="5"/>
    </row>
    <row r="30" spans="1:14" ht="13.5" thickBot="1">
      <c r="A30" s="2"/>
      <c r="B30" s="60"/>
      <c r="C30" s="58"/>
      <c r="D30" s="58"/>
      <c r="E30" s="64" t="s">
        <v>42</v>
      </c>
      <c r="F30" s="65" t="s">
        <v>43</v>
      </c>
      <c r="G30" s="66" t="s">
        <v>44</v>
      </c>
      <c r="H30" s="58"/>
      <c r="I30" s="2"/>
      <c r="J30" s="2"/>
      <c r="K30" s="2"/>
      <c r="L30" s="2"/>
      <c r="M30" s="5"/>
      <c r="N30" s="5"/>
    </row>
    <row r="31" spans="1:12" ht="12.75">
      <c r="A31" s="2"/>
      <c r="B31" s="60"/>
      <c r="C31" s="241" t="s">
        <v>45</v>
      </c>
      <c r="D31" s="242"/>
      <c r="E31" s="67">
        <f>Metodo!J71</f>
        <v>0.12909292765086075</v>
      </c>
      <c r="F31" s="68">
        <f>Metodo!K71</f>
        <v>0.05568844630926359</v>
      </c>
      <c r="G31" s="69">
        <f>Metodo!L71</f>
        <v>0.129088811772631</v>
      </c>
      <c r="H31" s="58"/>
      <c r="I31" s="2"/>
      <c r="J31" s="2"/>
      <c r="K31" s="2"/>
      <c r="L31" s="2"/>
    </row>
    <row r="32" spans="1:12" ht="13.5" thickBot="1">
      <c r="A32" s="2"/>
      <c r="B32" s="60"/>
      <c r="C32" s="239" t="s">
        <v>46</v>
      </c>
      <c r="D32" s="240"/>
      <c r="E32" s="70">
        <f>E31*100</f>
        <v>12.909292765086075</v>
      </c>
      <c r="F32" s="71">
        <f>F31*100</f>
        <v>5.568844630926359</v>
      </c>
      <c r="G32" s="72">
        <f>G31*100</f>
        <v>12.908881177263101</v>
      </c>
      <c r="H32" s="58"/>
      <c r="I32" s="2"/>
      <c r="J32" s="2"/>
      <c r="K32" s="2"/>
      <c r="L32" s="2"/>
    </row>
    <row r="33" spans="1:12" ht="13.5" thickBot="1">
      <c r="A33" s="2"/>
      <c r="B33" s="60"/>
      <c r="C33" s="73"/>
      <c r="D33" s="73"/>
      <c r="E33" s="58"/>
      <c r="F33" s="58"/>
      <c r="G33" s="58"/>
      <c r="H33" s="58"/>
      <c r="I33" s="2"/>
      <c r="J33" s="2"/>
      <c r="K33" s="2"/>
      <c r="L33" s="2"/>
    </row>
    <row r="34" spans="1:12" ht="15" customHeight="1">
      <c r="A34" s="2"/>
      <c r="B34" s="60"/>
      <c r="C34" s="243" t="s">
        <v>35</v>
      </c>
      <c r="D34" s="244"/>
      <c r="E34" s="74" t="s">
        <v>47</v>
      </c>
      <c r="F34" s="75" t="s">
        <v>48</v>
      </c>
      <c r="G34" s="76" t="s">
        <v>49</v>
      </c>
      <c r="H34" s="60"/>
      <c r="I34" s="77"/>
      <c r="J34" s="77"/>
      <c r="K34" s="77"/>
      <c r="L34" s="2"/>
    </row>
    <row r="35" spans="1:12" ht="13.5" thickBot="1">
      <c r="A35" s="2"/>
      <c r="B35" s="60"/>
      <c r="C35" s="227" t="s">
        <v>37</v>
      </c>
      <c r="D35" s="228"/>
      <c r="E35" s="78">
        <f>Metodo!J72</f>
        <v>59.37611779650053</v>
      </c>
      <c r="F35" s="79">
        <f>Metodo!K72</f>
        <v>30.806391951829713</v>
      </c>
      <c r="G35" s="80">
        <f>Metodo!L72</f>
        <v>26.94441885363249</v>
      </c>
      <c r="H35" s="58"/>
      <c r="I35" s="2"/>
      <c r="J35" s="2"/>
      <c r="K35" s="2"/>
      <c r="L35" s="2"/>
    </row>
    <row r="36" spans="1:12" ht="15.75">
      <c r="A36" s="2"/>
      <c r="B36" s="81"/>
      <c r="C36" s="235"/>
      <c r="D36" s="235"/>
      <c r="E36" s="77"/>
      <c r="F36" s="2"/>
      <c r="G36" s="2"/>
      <c r="H36" s="2"/>
      <c r="I36" s="2"/>
      <c r="J36" s="2"/>
      <c r="K36" s="2"/>
      <c r="L36" s="2"/>
    </row>
    <row r="37" spans="1:12" ht="12.75">
      <c r="A37" s="2"/>
      <c r="B37" s="77"/>
      <c r="C37" s="77"/>
      <c r="D37" s="77"/>
      <c r="E37" s="77"/>
      <c r="F37" s="2"/>
      <c r="G37" s="2"/>
      <c r="H37" s="2"/>
      <c r="I37" s="2"/>
      <c r="J37" s="2"/>
      <c r="K37" s="2"/>
      <c r="L37" s="2"/>
    </row>
    <row r="38" spans="1:12" ht="12.75">
      <c r="A38" s="2"/>
      <c r="B38" s="77"/>
      <c r="C38" s="77"/>
      <c r="D38" s="77"/>
      <c r="E38" s="77"/>
      <c r="F38" s="77"/>
      <c r="G38" s="77"/>
      <c r="H38" s="77"/>
      <c r="I38" s="77"/>
      <c r="J38" s="2"/>
      <c r="K38" s="2"/>
      <c r="L38" s="2"/>
    </row>
    <row r="39" spans="1:12" ht="12.75">
      <c r="A39" s="2"/>
      <c r="B39" s="2"/>
      <c r="C39" s="2"/>
      <c r="D39" s="2"/>
      <c r="E39" s="2"/>
      <c r="F39" s="2"/>
      <c r="G39" s="2"/>
      <c r="H39" s="2"/>
      <c r="I39" s="2"/>
      <c r="J39" s="2"/>
      <c r="K39" s="2"/>
      <c r="L39" s="2"/>
    </row>
    <row r="41" spans="5:7" ht="12.75">
      <c r="E41" s="82"/>
      <c r="F41" s="82"/>
      <c r="G41" s="82"/>
    </row>
    <row r="50" ht="15.75">
      <c r="A50" s="83"/>
    </row>
    <row r="51" spans="1:8" ht="12.75">
      <c r="A51" s="5"/>
      <c r="B51" s="5"/>
      <c r="C51" s="5"/>
      <c r="D51" s="5"/>
      <c r="E51" s="5"/>
      <c r="F51" s="5"/>
      <c r="G51" s="5"/>
      <c r="H51" s="5"/>
    </row>
    <row r="52" spans="1:8" ht="12.75">
      <c r="A52" s="84"/>
      <c r="B52" s="5"/>
      <c r="C52" s="5"/>
      <c r="D52" s="5"/>
      <c r="E52" s="5"/>
      <c r="F52" s="5"/>
      <c r="G52" s="5"/>
      <c r="H52" s="5"/>
    </row>
    <row r="53" spans="1:8" ht="12.75">
      <c r="A53" s="5"/>
      <c r="B53" s="5"/>
      <c r="C53" s="5"/>
      <c r="D53" s="5"/>
      <c r="E53" s="5"/>
      <c r="F53" s="5"/>
      <c r="G53" s="5"/>
      <c r="H53" s="5"/>
    </row>
    <row r="54" spans="1:8" ht="12.75">
      <c r="A54" s="85"/>
      <c r="B54" s="5"/>
      <c r="C54" s="5"/>
      <c r="D54" s="5"/>
      <c r="E54" s="5"/>
      <c r="F54" s="5"/>
      <c r="G54" s="5"/>
      <c r="H54" s="5"/>
    </row>
    <row r="55" spans="1:8" ht="12.75">
      <c r="A55" s="85"/>
      <c r="B55" s="5"/>
      <c r="C55" s="5"/>
      <c r="D55" s="5"/>
      <c r="E55" s="5"/>
      <c r="F55" s="5"/>
      <c r="G55" s="5"/>
      <c r="H55" s="5"/>
    </row>
    <row r="56" spans="1:8" ht="12.75">
      <c r="A56" s="85"/>
      <c r="B56" s="5"/>
      <c r="C56" s="5"/>
      <c r="D56" s="5"/>
      <c r="E56" s="5"/>
      <c r="F56" s="5"/>
      <c r="G56" s="5"/>
      <c r="H56" s="5"/>
    </row>
    <row r="57" spans="1:8" ht="12.75">
      <c r="A57" s="85"/>
      <c r="B57" s="5"/>
      <c r="C57" s="5"/>
      <c r="D57" s="5"/>
      <c r="E57" s="5"/>
      <c r="F57" s="5"/>
      <c r="G57" s="5"/>
      <c r="H57" s="5"/>
    </row>
    <row r="58" spans="1:8" ht="12.75">
      <c r="A58" s="85"/>
      <c r="B58" s="5"/>
      <c r="C58" s="5"/>
      <c r="D58" s="5"/>
      <c r="E58" s="5"/>
      <c r="F58" s="5"/>
      <c r="G58" s="5"/>
      <c r="H58" s="5"/>
    </row>
    <row r="59" spans="1:8" ht="12.75">
      <c r="A59" s="85"/>
      <c r="B59" s="5"/>
      <c r="C59" s="5"/>
      <c r="D59" s="5"/>
      <c r="E59" s="5"/>
      <c r="F59" s="5"/>
      <c r="G59" s="5"/>
      <c r="H59" s="5"/>
    </row>
    <row r="60" spans="1:8" ht="12.75">
      <c r="A60" s="85"/>
      <c r="B60" s="5"/>
      <c r="C60" s="5"/>
      <c r="D60" s="5"/>
      <c r="E60" s="5"/>
      <c r="F60" s="5"/>
      <c r="G60" s="5"/>
      <c r="H60" s="5"/>
    </row>
    <row r="61" spans="1:8" ht="12.75">
      <c r="A61" s="85"/>
      <c r="B61" s="5"/>
      <c r="C61" s="5"/>
      <c r="D61" s="5"/>
      <c r="E61" s="5"/>
      <c r="F61" s="5"/>
      <c r="G61" s="5"/>
      <c r="H61" s="5"/>
    </row>
    <row r="62" spans="1:8" ht="12.75">
      <c r="A62" s="85"/>
      <c r="B62" s="5"/>
      <c r="C62" s="5"/>
      <c r="D62" s="5"/>
      <c r="E62" s="5"/>
      <c r="F62" s="5"/>
      <c r="G62" s="5"/>
      <c r="H62" s="5"/>
    </row>
    <row r="63" spans="1:8" ht="12.75">
      <c r="A63" s="85"/>
      <c r="B63" s="5"/>
      <c r="C63" s="5"/>
      <c r="D63" s="5"/>
      <c r="E63" s="5"/>
      <c r="F63" s="5"/>
      <c r="G63" s="5"/>
      <c r="H63" s="5"/>
    </row>
    <row r="64" spans="1:8" ht="12.75">
      <c r="A64" s="85"/>
      <c r="B64" s="5"/>
      <c r="C64" s="5"/>
      <c r="D64" s="5"/>
      <c r="E64" s="5"/>
      <c r="F64" s="5"/>
      <c r="G64" s="5"/>
      <c r="H64" s="5"/>
    </row>
    <row r="65" spans="1:8" ht="12.75">
      <c r="A65" s="85"/>
      <c r="B65" s="5"/>
      <c r="C65" s="5"/>
      <c r="D65" s="5"/>
      <c r="E65" s="5"/>
      <c r="F65" s="5"/>
      <c r="G65" s="5"/>
      <c r="H65" s="5"/>
    </row>
    <row r="66" spans="1:8" ht="12.75">
      <c r="A66" s="85"/>
      <c r="B66" s="5"/>
      <c r="C66" s="5"/>
      <c r="D66" s="5"/>
      <c r="E66" s="5"/>
      <c r="F66" s="5"/>
      <c r="G66" s="5"/>
      <c r="H66" s="5"/>
    </row>
    <row r="67" spans="1:8" ht="12.75">
      <c r="A67" s="85"/>
      <c r="B67" s="5"/>
      <c r="C67" s="5"/>
      <c r="D67" s="5"/>
      <c r="E67" s="5"/>
      <c r="F67" s="5"/>
      <c r="G67" s="5"/>
      <c r="H67" s="5"/>
    </row>
    <row r="68" spans="1:9" ht="12.75">
      <c r="A68" s="85"/>
      <c r="B68" s="5"/>
      <c r="C68" s="5"/>
      <c r="D68" s="5"/>
      <c r="E68" s="5"/>
      <c r="F68" s="5"/>
      <c r="G68" s="5"/>
      <c r="H68" s="5"/>
      <c r="I68" s="5"/>
    </row>
  </sheetData>
  <sheetProtection password="CD8C" sheet="1" objects="1" scenarios="1"/>
  <mergeCells count="22">
    <mergeCell ref="E2:H3"/>
    <mergeCell ref="J14:K14"/>
    <mergeCell ref="B5:H5"/>
    <mergeCell ref="B2:D2"/>
    <mergeCell ref="B3:D3"/>
    <mergeCell ref="B4:C4"/>
    <mergeCell ref="D15:E15"/>
    <mergeCell ref="H6:H7"/>
    <mergeCell ref="D12:E12"/>
    <mergeCell ref="D7:E7"/>
    <mergeCell ref="D9:E9"/>
    <mergeCell ref="C36:D36"/>
    <mergeCell ref="E28:G28"/>
    <mergeCell ref="C32:D32"/>
    <mergeCell ref="B22:F22"/>
    <mergeCell ref="C31:D31"/>
    <mergeCell ref="C34:D34"/>
    <mergeCell ref="C35:D35"/>
    <mergeCell ref="G19:H19"/>
    <mergeCell ref="G20:H20"/>
    <mergeCell ref="B17:H17"/>
    <mergeCell ref="B18:F18"/>
  </mergeCells>
  <conditionalFormatting sqref="D15:E15">
    <cfRule type="expression" priority="1" dxfId="0" stopIfTrue="1">
      <formula>$H$16=1</formula>
    </cfRule>
    <cfRule type="expression" priority="2" dxfId="1" stopIfTrue="1">
      <formula>$H$16=0</formula>
    </cfRule>
  </conditionalFormatting>
  <dataValidations count="3">
    <dataValidation errorStyle="warning" type="decimal" allowBlank="1" showInputMessage="1" showErrorMessage="1" errorTitle="Valores fuera de rango típico" error="La alcalinidad de un agua de riego no presenta comunmente valores tan extremos. Verifique y corrija" sqref="F9">
      <formula1>0.01</formula1>
      <formula2>1000</formula2>
    </dataValidation>
    <dataValidation errorStyle="warning" type="decimal" allowBlank="1" showInputMessage="1" showErrorMessage="1" errorTitle="Valor fuera de rango" error="El valor de pH está fuera del rango esperado (7 a 14). Tome acciones" sqref="F7">
      <formula1>7</formula1>
      <formula2>14</formula2>
    </dataValidation>
    <dataValidation errorStyle="warning" type="decimal" allowBlank="1" showInputMessage="1" showErrorMessage="1" errorTitle="Valor poco probable" error="El valor introducido está fuera de los limites practicos. Tomar acciones" sqref="F12">
      <formula1>0.001</formula1>
      <formula2>1000</formula2>
    </dataValidation>
  </dataValidations>
  <printOptions horizontalCentered="1"/>
  <pageMargins left="0.75" right="0.75" top="0.61" bottom="0.68" header="0.41" footer="0.37"/>
  <pageSetup fitToHeight="1" fitToWidth="1" horizontalDpi="300" verticalDpi="300" orientation="landscape" scale="99" r:id="rId3"/>
  <headerFooter alignWithMargins="0">
    <oddFooter>&amp;CPage &amp;P</oddFooter>
  </headerFooter>
  <rowBreaks count="1" manualBreakCount="1">
    <brk id="65" max="65535" man="1"/>
  </rowBreaks>
  <legacyDrawing r:id="rId2"/>
</worksheet>
</file>

<file path=xl/worksheets/sheet2.xml><?xml version="1.0" encoding="utf-8"?>
<worksheet xmlns="http://schemas.openxmlformats.org/spreadsheetml/2006/main" xmlns:r="http://schemas.openxmlformats.org/officeDocument/2006/relationships">
  <sheetPr codeName="Hoja6"/>
  <dimension ref="B1:S72"/>
  <sheetViews>
    <sheetView workbookViewId="0" topLeftCell="F7">
      <selection activeCell="I12" sqref="I12"/>
    </sheetView>
  </sheetViews>
  <sheetFormatPr defaultColWidth="11.00390625" defaultRowHeight="12.75"/>
  <cols>
    <col min="1" max="1" width="1.875" style="87" customWidth="1"/>
    <col min="2" max="2" width="15.00390625" style="87" bestFit="1" customWidth="1"/>
    <col min="3" max="3" width="10.625" style="87" bestFit="1" customWidth="1"/>
    <col min="4" max="4" width="13.375" style="87" customWidth="1"/>
    <col min="5" max="5" width="11.625" style="87" customWidth="1"/>
    <col min="6" max="8" width="2.625" style="87" customWidth="1"/>
    <col min="9" max="9" width="67.125" style="149" bestFit="1" customWidth="1"/>
    <col min="10" max="10" width="12.00390625" style="149" bestFit="1" customWidth="1"/>
    <col min="11" max="13" width="10.00390625" style="149" bestFit="1" customWidth="1"/>
    <col min="14" max="14" width="3.625" style="149" customWidth="1"/>
    <col min="15" max="15" width="49.125" style="87" customWidth="1"/>
    <col min="16" max="16" width="11.125" style="87" customWidth="1"/>
    <col min="17" max="18" width="9.00390625" style="87" customWidth="1"/>
    <col min="19" max="19" width="9.00390625" style="87" bestFit="1" customWidth="1"/>
    <col min="20" max="16384" width="11.375" style="87" customWidth="1"/>
  </cols>
  <sheetData>
    <row r="1" spans="9:16" ht="13.5" customHeight="1" thickBot="1">
      <c r="I1" s="148" t="s">
        <v>135</v>
      </c>
      <c r="O1" s="150" t="s">
        <v>133</v>
      </c>
      <c r="P1" s="151"/>
    </row>
    <row r="2" spans="2:16" ht="13.5" customHeight="1">
      <c r="B2" s="88" t="s">
        <v>139</v>
      </c>
      <c r="C2" s="89" t="s">
        <v>140</v>
      </c>
      <c r="D2" s="90" t="s">
        <v>79</v>
      </c>
      <c r="I2" s="152" t="s">
        <v>136</v>
      </c>
      <c r="J2" s="153">
        <v>4.365E-07</v>
      </c>
      <c r="O2" s="87" t="s">
        <v>104</v>
      </c>
      <c r="P2" s="154">
        <f>Alcalimetro!H9</f>
        <v>1</v>
      </c>
    </row>
    <row r="3" spans="2:16" ht="13.5" customHeight="1">
      <c r="B3" s="91" t="s">
        <v>68</v>
      </c>
      <c r="C3" s="92"/>
      <c r="D3" s="87" t="s">
        <v>3</v>
      </c>
      <c r="I3" s="152" t="s">
        <v>137</v>
      </c>
      <c r="J3" s="153">
        <v>5.61E-11</v>
      </c>
      <c r="O3" s="87" t="s">
        <v>106</v>
      </c>
      <c r="P3" s="143">
        <f>P2/158</f>
        <v>0.006329113924050633</v>
      </c>
    </row>
    <row r="4" spans="2:16" ht="13.5" customHeight="1">
      <c r="B4" s="91" t="s">
        <v>69</v>
      </c>
      <c r="C4" s="93" t="s">
        <v>52</v>
      </c>
      <c r="D4" s="87" t="s">
        <v>52</v>
      </c>
      <c r="I4" s="155" t="s">
        <v>8</v>
      </c>
      <c r="J4" s="156">
        <f>-LOG(J2)</f>
        <v>6.360015751958412</v>
      </c>
      <c r="O4" s="87" t="s">
        <v>107</v>
      </c>
      <c r="P4" s="144">
        <f>P3*98</f>
        <v>0.620253164556962</v>
      </c>
    </row>
    <row r="5" spans="2:19" ht="13.5" customHeight="1">
      <c r="B5" s="91" t="s">
        <v>70</v>
      </c>
      <c r="C5" s="93" t="s">
        <v>71</v>
      </c>
      <c r="D5" s="87" t="s">
        <v>4</v>
      </c>
      <c r="I5" s="155" t="s">
        <v>9</v>
      </c>
      <c r="J5" s="156">
        <f>-LOG(J3)</f>
        <v>10.251037138743838</v>
      </c>
      <c r="P5" s="145"/>
      <c r="R5" s="148"/>
      <c r="S5" s="157"/>
    </row>
    <row r="6" spans="2:16" ht="13.5" customHeight="1">
      <c r="B6" s="91" t="s">
        <v>72</v>
      </c>
      <c r="C6" s="93" t="s">
        <v>73</v>
      </c>
      <c r="D6" s="87" t="s">
        <v>5</v>
      </c>
      <c r="I6" s="155"/>
      <c r="O6" s="87" t="s">
        <v>105</v>
      </c>
      <c r="P6" s="158">
        <f>P2*(71/158)/1000</f>
        <v>0.00044936708860759494</v>
      </c>
    </row>
    <row r="7" spans="3:19" ht="13.5" customHeight="1" thickBot="1">
      <c r="C7" s="94">
        <v>3</v>
      </c>
      <c r="D7" s="95">
        <v>1</v>
      </c>
      <c r="I7" s="155" t="s">
        <v>96</v>
      </c>
      <c r="J7" s="159">
        <f>C8</f>
        <v>8.3</v>
      </c>
      <c r="K7" s="160"/>
      <c r="O7" s="87" t="s">
        <v>53</v>
      </c>
      <c r="P7" s="161">
        <f>P6/71*98</f>
        <v>0.0006202531645569621</v>
      </c>
      <c r="R7" s="148"/>
      <c r="S7" s="162"/>
    </row>
    <row r="8" spans="2:16" ht="13.5" customHeight="1" thickBot="1">
      <c r="B8" s="132" t="s">
        <v>3</v>
      </c>
      <c r="C8" s="135">
        <f>Alcalimetro!F7</f>
        <v>8.3</v>
      </c>
      <c r="D8" s="134">
        <f>IF(D7=1,Alcalimetro!F12,"")</f>
        <v>5</v>
      </c>
      <c r="I8" s="155"/>
      <c r="O8" s="87" t="s">
        <v>102</v>
      </c>
      <c r="P8" s="154">
        <f>1+0.0082*100*P6+0.00000497*(P6*100)^2.58</f>
        <v>1.0003684826725037</v>
      </c>
    </row>
    <row r="9" spans="2:19" ht="13.5" customHeight="1">
      <c r="B9" s="133" t="s">
        <v>2</v>
      </c>
      <c r="C9" s="96">
        <f>IF(C7=1,Alcalimetro!F9,)</f>
        <v>0</v>
      </c>
      <c r="D9" s="119">
        <f>IF(D7=2,Alcalimetro!F12,)</f>
        <v>0</v>
      </c>
      <c r="F9" s="117"/>
      <c r="G9" s="116"/>
      <c r="I9" s="152" t="s">
        <v>127</v>
      </c>
      <c r="J9" s="163">
        <f>10^(-J7)</f>
        <v>5.011872336272711E-09</v>
      </c>
      <c r="P9" s="145"/>
      <c r="R9" s="148"/>
      <c r="S9" s="164"/>
    </row>
    <row r="10" spans="2:16" ht="13.5" customHeight="1">
      <c r="B10" s="113" t="s">
        <v>100</v>
      </c>
      <c r="C10" s="98">
        <f>IF(C7=1,Alcalimetro!F9*61.018,)</f>
        <v>0</v>
      </c>
      <c r="D10" s="120">
        <f>IF(D7=2,Alcalimetro!F12*61.018,)</f>
        <v>0</v>
      </c>
      <c r="I10" s="152" t="s">
        <v>110</v>
      </c>
      <c r="J10" s="165">
        <f>J9^2/(J9^2+$J$2*J9^1+$J$2*$J$3*J9^0)</f>
        <v>0.011227367891661972</v>
      </c>
      <c r="K10" s="165"/>
      <c r="O10" s="87" t="s">
        <v>103</v>
      </c>
      <c r="P10" s="166">
        <f>P3/P8</f>
        <v>0.0063267826142845715</v>
      </c>
    </row>
    <row r="11" spans="2:19" ht="13.5" customHeight="1" thickBot="1">
      <c r="B11" s="114" t="s">
        <v>101</v>
      </c>
      <c r="C11" s="99">
        <f>IF(C7=1,Alcalimetro!F9*50.045,)</f>
        <v>0</v>
      </c>
      <c r="D11" s="121">
        <f>IF(D7=2,Alcalimetro!F12*50.045,)</f>
        <v>0</v>
      </c>
      <c r="F11" s="167"/>
      <c r="G11" s="100"/>
      <c r="I11" s="152" t="s">
        <v>111</v>
      </c>
      <c r="J11" s="165">
        <f>$J$2*J9^1/(J9^2+$J$2*J9^1+$J$2*$J$3*J9^0)</f>
        <v>0.977827397805407</v>
      </c>
      <c r="P11" s="145"/>
      <c r="R11" s="148"/>
      <c r="S11" s="164"/>
    </row>
    <row r="12" spans="2:19" ht="13.5" customHeight="1">
      <c r="B12" s="133" t="s">
        <v>2</v>
      </c>
      <c r="C12" s="124">
        <f>IF(C7=2,Alcalimetro!F9/61.018,)</f>
        <v>0</v>
      </c>
      <c r="D12" s="119">
        <f>IF(D7=3,Alcalimetro!F12/61.018,)</f>
        <v>0</v>
      </c>
      <c r="F12" s="168"/>
      <c r="G12" s="100"/>
      <c r="I12" s="152" t="s">
        <v>112</v>
      </c>
      <c r="J12" s="165">
        <f>$J$2*$J$3*J9^0/(J9^2+$J$2*J9^1+$J$2*$J$3*J9^0)</f>
        <v>0.010945234302931064</v>
      </c>
      <c r="K12" s="165"/>
      <c r="P12" s="145"/>
      <c r="R12" s="148"/>
      <c r="S12" s="164"/>
    </row>
    <row r="13" spans="2:18" ht="13.5" customHeight="1">
      <c r="B13" s="113" t="s">
        <v>100</v>
      </c>
      <c r="C13" s="98">
        <f>IF(C7=2,Alcalimetro!F9,)</f>
        <v>0</v>
      </c>
      <c r="D13" s="120">
        <f>IF(D7=3,Alcalimetro!F12,)</f>
        <v>0</v>
      </c>
      <c r="F13" s="168"/>
      <c r="G13" s="100"/>
      <c r="I13" s="155"/>
      <c r="O13" s="87" t="s">
        <v>55</v>
      </c>
      <c r="P13" s="169">
        <f>(-P17+(P17^2+4*P17*P3)^(0.5))/2</f>
        <v>0.004094160530635497</v>
      </c>
      <c r="R13" s="170"/>
    </row>
    <row r="14" spans="2:16" ht="13.5" customHeight="1" thickBot="1">
      <c r="B14" s="114" t="s">
        <v>101</v>
      </c>
      <c r="C14" s="99">
        <f>IF(C7=2,(Alcalimetro!F9*50.045)/61.018,)</f>
        <v>0</v>
      </c>
      <c r="D14" s="121">
        <f>IF(D7=3,(Alcalimetro!F12*50.045)/61.018,)</f>
        <v>0</v>
      </c>
      <c r="I14" s="155" t="s">
        <v>141</v>
      </c>
      <c r="J14" s="146">
        <v>0</v>
      </c>
      <c r="K14" s="171"/>
      <c r="O14" s="87" t="s">
        <v>54</v>
      </c>
      <c r="P14" s="172">
        <f>-LOG(P13)</f>
        <v>2.387835132801419</v>
      </c>
    </row>
    <row r="15" spans="2:9" ht="13.5" customHeight="1">
      <c r="B15" s="133" t="s">
        <v>2</v>
      </c>
      <c r="C15" s="101">
        <f>IF(C7=3,Alcalimetro!F9/50.045,)</f>
        <v>1.998201618543311</v>
      </c>
      <c r="D15" s="119">
        <f>IF(D7=4,Alcalimetro!F12/50.045,)</f>
        <v>0</v>
      </c>
      <c r="I15" s="155"/>
    </row>
    <row r="16" spans="2:15" ht="13.5" customHeight="1">
      <c r="B16" s="113" t="s">
        <v>100</v>
      </c>
      <c r="C16" s="98">
        <f>IF(C7=3,(Alcalimetro!F9/50.045)*61.018,)</f>
        <v>121.92626636027575</v>
      </c>
      <c r="D16" s="120">
        <f>IF(D7=4,(Alcalimetro!F12/50.045)*61.018,)</f>
        <v>0</v>
      </c>
      <c r="I16" s="152" t="s">
        <v>128</v>
      </c>
      <c r="J16" s="163">
        <f>10^(-J14)</f>
        <v>1</v>
      </c>
      <c r="O16" s="148" t="s">
        <v>134</v>
      </c>
    </row>
    <row r="17" spans="2:16" ht="13.5" customHeight="1" thickBot="1">
      <c r="B17" s="114" t="s">
        <v>101</v>
      </c>
      <c r="C17" s="99">
        <f>IF(C7=3,Alcalimetro!F9,)</f>
        <v>100</v>
      </c>
      <c r="D17" s="121">
        <f>IF(D7=4,Alcalimetro!F12,)</f>
        <v>0</v>
      </c>
      <c r="I17" s="152" t="s">
        <v>113</v>
      </c>
      <c r="J17" s="165">
        <f>J16^2/(J16^2+$J$2*J16^1+$J$2*$J$3*J16^0)</f>
        <v>0.9999995635001906</v>
      </c>
      <c r="K17" s="165"/>
      <c r="O17" s="87" t="s">
        <v>6</v>
      </c>
      <c r="P17" s="173">
        <v>0.0075</v>
      </c>
    </row>
    <row r="18" spans="9:16" ht="13.5" customHeight="1" thickBot="1">
      <c r="I18" s="152" t="s">
        <v>114</v>
      </c>
      <c r="J18" s="165">
        <f>$J$2*J16^1/(J16^2+$J$2*J16^1+$J$2*$J$3*J16^0)</f>
        <v>4.364998094678332E-07</v>
      </c>
      <c r="O18" s="87" t="s">
        <v>7</v>
      </c>
      <c r="P18" s="173">
        <v>6.2E-08</v>
      </c>
    </row>
    <row r="19" spans="2:16" ht="13.5" customHeight="1" thickBot="1">
      <c r="B19" s="10"/>
      <c r="C19" s="115" t="s">
        <v>78</v>
      </c>
      <c r="D19" s="115" t="s">
        <v>79</v>
      </c>
      <c r="E19" s="127" t="s">
        <v>90</v>
      </c>
      <c r="I19" s="152" t="s">
        <v>115</v>
      </c>
      <c r="J19" s="165">
        <f>$J$2*$J$3*J16^0/(J16^2+$J$2*J16^1+$J$2*$J$3*J16^0)</f>
        <v>2.4487639311145446E-17</v>
      </c>
      <c r="K19" s="165"/>
      <c r="O19" s="87" t="s">
        <v>56</v>
      </c>
      <c r="P19" s="173">
        <v>4.8E-13</v>
      </c>
    </row>
    <row r="20" spans="2:16" ht="13.5" customHeight="1">
      <c r="B20" s="128" t="str">
        <f>IF(D7=1,"pH (final dado)","pH (final calc.)")</f>
        <v>pH (final dado)</v>
      </c>
      <c r="C20" s="129">
        <f>C8</f>
        <v>8.3</v>
      </c>
      <c r="D20" s="119">
        <f>IF(D7=1,Alcalimetro!F12,J45)</f>
        <v>5</v>
      </c>
      <c r="E20" s="125">
        <f>C20-D20</f>
        <v>3.3000000000000007</v>
      </c>
      <c r="F20" s="167"/>
      <c r="G20" s="167"/>
      <c r="H20" s="167"/>
      <c r="I20" s="155"/>
      <c r="P20" s="174"/>
    </row>
    <row r="21" spans="2:16" ht="13.5" customHeight="1">
      <c r="B21" s="113" t="s">
        <v>77</v>
      </c>
      <c r="C21" s="122">
        <f>C9+C12+C15</f>
        <v>1.998201618543311</v>
      </c>
      <c r="D21" s="122">
        <f>IF((D9+D12+D15+IF(D7=1,J41,))&lt;0,0,(D9+D12+D15+IF(D7=1,J41,)))</f>
        <v>0.07360219645469601</v>
      </c>
      <c r="E21" s="126">
        <f>C21-D21</f>
        <v>1.924599422088615</v>
      </c>
      <c r="F21" s="168"/>
      <c r="G21" s="168"/>
      <c r="H21" s="168"/>
      <c r="I21" s="155" t="s">
        <v>109</v>
      </c>
      <c r="J21" s="165">
        <f>((J17-J10)+(J12-J19))</f>
        <v>0.9997174299114596</v>
      </c>
      <c r="P21" s="174"/>
    </row>
    <row r="22" spans="2:16" ht="13.5" customHeight="1">
      <c r="B22" s="113" t="s">
        <v>85</v>
      </c>
      <c r="C22" s="130">
        <f>C10+C13+C16</f>
        <v>121.92626636027575</v>
      </c>
      <c r="D22" s="122">
        <f>D10+D13+D16+IF(D7=1,D21*61.018,)</f>
        <v>4.491058823272641</v>
      </c>
      <c r="E22" s="97">
        <f>C22-D22</f>
        <v>117.43520753700311</v>
      </c>
      <c r="F22" s="168"/>
      <c r="G22" s="168"/>
      <c r="H22" s="168"/>
      <c r="I22" s="155"/>
      <c r="P22" s="174"/>
    </row>
    <row r="23" spans="2:16" ht="13.5" customHeight="1" thickBot="1">
      <c r="B23" s="114" t="s">
        <v>86</v>
      </c>
      <c r="C23" s="131">
        <f>C11+C14+C17</f>
        <v>100</v>
      </c>
      <c r="D23" s="123">
        <f>D11+D14+D17+IF(D7=1,D21*50.045,)</f>
        <v>3.683421921575262</v>
      </c>
      <c r="E23" s="112">
        <f>C23-D23</f>
        <v>96.31657807842474</v>
      </c>
      <c r="F23" s="175"/>
      <c r="G23" s="175"/>
      <c r="H23" s="175"/>
      <c r="I23" s="155" t="s">
        <v>130</v>
      </c>
      <c r="J23" s="165">
        <f>C21</f>
        <v>1.998201618543311</v>
      </c>
      <c r="K23" s="176"/>
      <c r="P23" s="174"/>
    </row>
    <row r="24" spans="8:19" ht="13.5" customHeight="1">
      <c r="H24" s="175"/>
      <c r="I24" s="155" t="s">
        <v>131</v>
      </c>
      <c r="J24" s="165">
        <f>J23/J21</f>
        <v>1.998766410144797</v>
      </c>
      <c r="S24" s="137"/>
    </row>
    <row r="25" spans="9:16" ht="13.5" customHeight="1">
      <c r="I25" s="155"/>
      <c r="P25" s="174"/>
    </row>
    <row r="26" spans="9:16" ht="13.5" customHeight="1" thickBot="1">
      <c r="I26" s="155" t="s">
        <v>89</v>
      </c>
      <c r="J26" s="177" t="str">
        <f>IF(D7=1,"Si","No")</f>
        <v>Si</v>
      </c>
      <c r="P26" s="174"/>
    </row>
    <row r="27" spans="3:16" ht="13.5" customHeight="1" thickBot="1">
      <c r="C27" s="270" t="s">
        <v>142</v>
      </c>
      <c r="D27" s="271"/>
      <c r="H27" s="118"/>
      <c r="I27" s="155" t="s">
        <v>87</v>
      </c>
      <c r="J27" s="178">
        <f>IF(D7=1,D8,"")</f>
        <v>5</v>
      </c>
      <c r="P27" s="174"/>
    </row>
    <row r="28" spans="3:16" ht="13.5" customHeight="1">
      <c r="C28" s="272" t="s">
        <v>146</v>
      </c>
      <c r="D28" s="273"/>
      <c r="E28" s="214" t="s">
        <v>143</v>
      </c>
      <c r="I28" s="155" t="s">
        <v>138</v>
      </c>
      <c r="J28" s="179" t="str">
        <f>IF(D7=1,"No","Si")</f>
        <v>No</v>
      </c>
      <c r="P28" s="174"/>
    </row>
    <row r="29" spans="3:16" ht="13.5" customHeight="1">
      <c r="C29" s="274" t="s">
        <v>147</v>
      </c>
      <c r="D29" s="275"/>
      <c r="E29" s="215" t="s">
        <v>144</v>
      </c>
      <c r="I29" s="155" t="s">
        <v>129</v>
      </c>
      <c r="J29" s="147">
        <v>7</v>
      </c>
      <c r="K29" s="176"/>
      <c r="L29" s="160"/>
      <c r="M29" s="160"/>
      <c r="N29" s="160"/>
      <c r="P29" s="136"/>
    </row>
    <row r="30" spans="3:9" ht="13.5" customHeight="1" thickBot="1">
      <c r="C30" s="276" t="s">
        <v>148</v>
      </c>
      <c r="D30" s="277"/>
      <c r="E30" s="216" t="s">
        <v>145</v>
      </c>
      <c r="I30" s="155"/>
    </row>
    <row r="31" spans="9:16" ht="12.75">
      <c r="I31" s="152" t="s">
        <v>67</v>
      </c>
      <c r="J31" s="163">
        <f>IF(D7=1,10^(-J27),10^(-J29))</f>
        <v>1E-05</v>
      </c>
      <c r="P31" s="180"/>
    </row>
    <row r="32" spans="9:16" ht="12.75">
      <c r="I32" s="152" t="s">
        <v>116</v>
      </c>
      <c r="J32" s="165">
        <f>J31^2/(J31^2+$J$2*J31^1+$J$2*$J$3*J31^0)</f>
        <v>0.9581754087724424</v>
      </c>
      <c r="K32" s="165"/>
      <c r="P32" s="180"/>
    </row>
    <row r="33" spans="9:16" ht="12.75">
      <c r="I33" s="152" t="s">
        <v>117</v>
      </c>
      <c r="J33" s="165">
        <f>$J$2*J31^1/(J31^2+$J$2*J31^1+$J$2*$J$3*J31^0)</f>
        <v>0.04182435659291711</v>
      </c>
      <c r="P33" s="180"/>
    </row>
    <row r="34" spans="9:16" ht="12.75">
      <c r="I34" s="152" t="s">
        <v>118</v>
      </c>
      <c r="J34" s="165">
        <f>$J$2*$J$3*J31^0/(J31^2+$J$2*J31^1+$J$2*$J$3*J31^0)</f>
        <v>2.3463464048626497E-07</v>
      </c>
      <c r="K34" s="165"/>
      <c r="P34" s="180"/>
    </row>
    <row r="35" spans="9:16" ht="12.75">
      <c r="I35" s="155"/>
      <c r="P35" s="180"/>
    </row>
    <row r="36" spans="9:10" ht="12.75">
      <c r="I36" s="155" t="s">
        <v>132</v>
      </c>
      <c r="J36" s="165">
        <f>((J32-J10)+(J12-J34))</f>
        <v>0.957893040549071</v>
      </c>
    </row>
    <row r="37" ht="12.75">
      <c r="I37" s="155"/>
    </row>
    <row r="38" spans="9:10" ht="12.75">
      <c r="I38" s="155" t="s">
        <v>97</v>
      </c>
      <c r="J38" s="181">
        <f>IF(D7=1,J24*J36+J46,E21)</f>
        <v>1.924599422088615</v>
      </c>
    </row>
    <row r="39" ht="12.75">
      <c r="I39" s="155"/>
    </row>
    <row r="40" spans="9:10" ht="12.75">
      <c r="I40" s="155" t="s">
        <v>64</v>
      </c>
      <c r="J40" s="182">
        <f>J24*J36+J46</f>
        <v>1.924599422088615</v>
      </c>
    </row>
    <row r="41" spans="9:10" ht="12.75">
      <c r="I41" s="155" t="s">
        <v>66</v>
      </c>
      <c r="J41" s="165">
        <f>IF((J23-J40)&lt;0,0,(J23-J40))</f>
        <v>0.07360219645469601</v>
      </c>
    </row>
    <row r="42" spans="9:16" ht="12.75">
      <c r="I42" s="155" t="s">
        <v>94</v>
      </c>
      <c r="J42" s="165">
        <f>SUM(J40:J41)</f>
        <v>1.998201618543311</v>
      </c>
      <c r="O42" s="183"/>
      <c r="P42" s="184"/>
    </row>
    <row r="43" spans="9:10" ht="12.75">
      <c r="I43" s="155"/>
      <c r="J43" s="165"/>
    </row>
    <row r="44" ht="12.75">
      <c r="I44" s="185" t="s">
        <v>95</v>
      </c>
    </row>
    <row r="45" spans="9:14" ht="12.75">
      <c r="I45" s="155" t="s">
        <v>88</v>
      </c>
      <c r="J45" s="178">
        <f>IF(D7=1,D8,J29)</f>
        <v>5</v>
      </c>
      <c r="L45" s="176"/>
      <c r="M45" s="176"/>
      <c r="N45" s="176"/>
    </row>
    <row r="46" spans="9:10" ht="12.75">
      <c r="I46" s="155" t="s">
        <v>119</v>
      </c>
      <c r="J46" s="186">
        <f>+(1000*10^(-J45)-1000*10^(-J7))</f>
        <v>0.009994988127663728</v>
      </c>
    </row>
    <row r="47" spans="9:14" ht="12.75">
      <c r="I47" s="155"/>
      <c r="J47" s="87"/>
      <c r="K47" s="87"/>
      <c r="L47" s="87"/>
      <c r="M47" s="87"/>
      <c r="N47" s="87"/>
    </row>
    <row r="48" spans="9:13" ht="12.75">
      <c r="I48" s="155" t="s">
        <v>125</v>
      </c>
      <c r="J48" s="187">
        <f>$J$45</f>
        <v>5</v>
      </c>
      <c r="K48" s="187">
        <f>$J$45</f>
        <v>5</v>
      </c>
      <c r="L48" s="187">
        <f>$J$45</f>
        <v>5</v>
      </c>
      <c r="M48" s="188">
        <f>$J$45</f>
        <v>5</v>
      </c>
    </row>
    <row r="49" spans="9:13" ht="12.75">
      <c r="I49" s="152" t="s">
        <v>120</v>
      </c>
      <c r="J49" s="189">
        <f>10^(-J48)</f>
        <v>1E-05</v>
      </c>
      <c r="K49" s="189">
        <f>10^(-K48)</f>
        <v>1E-05</v>
      </c>
      <c r="L49" s="189">
        <f>10^(-L48)</f>
        <v>1E-05</v>
      </c>
      <c r="M49" s="190">
        <f>10^(-M48)</f>
        <v>1E-05</v>
      </c>
    </row>
    <row r="50" spans="9:13" ht="12.75">
      <c r="I50" s="152" t="s">
        <v>98</v>
      </c>
      <c r="J50" s="179" t="s">
        <v>80</v>
      </c>
      <c r="K50" s="179" t="s">
        <v>51</v>
      </c>
      <c r="L50" s="179" t="s">
        <v>50</v>
      </c>
      <c r="M50" s="191" t="str">
        <f>Alcalimetro!K5</f>
        <v>H3PO4</v>
      </c>
    </row>
    <row r="51" spans="9:13" ht="12.75">
      <c r="I51" s="155" t="s">
        <v>8</v>
      </c>
      <c r="J51" s="192">
        <v>2.125</v>
      </c>
      <c r="K51" s="192">
        <v>-1</v>
      </c>
      <c r="L51" s="192">
        <v>-1</v>
      </c>
      <c r="M51" s="193">
        <f>Alcalimetro!K7</f>
        <v>2.125</v>
      </c>
    </row>
    <row r="52" spans="9:13" ht="12.75">
      <c r="I52" s="155" t="s">
        <v>9</v>
      </c>
      <c r="J52" s="194">
        <v>7.208</v>
      </c>
      <c r="K52" s="194">
        <v>1.92</v>
      </c>
      <c r="L52" s="194">
        <v>20</v>
      </c>
      <c r="M52" s="193">
        <f>Alcalimetro!K8</f>
        <v>7.208</v>
      </c>
    </row>
    <row r="53" spans="9:13" ht="12.75">
      <c r="I53" s="155" t="s">
        <v>10</v>
      </c>
      <c r="J53" s="192">
        <v>12.319</v>
      </c>
      <c r="K53" s="192">
        <v>20</v>
      </c>
      <c r="L53" s="192">
        <v>20</v>
      </c>
      <c r="M53" s="193">
        <f>Alcalimetro!K9</f>
        <v>12.319</v>
      </c>
    </row>
    <row r="54" spans="9:13" ht="12.75">
      <c r="I54" s="155" t="s">
        <v>13</v>
      </c>
      <c r="J54" s="189">
        <f aca="true" t="shared" si="0" ref="J54:M56">10^(-J51)</f>
        <v>0.007498942093324557</v>
      </c>
      <c r="K54" s="189">
        <f t="shared" si="0"/>
        <v>10</v>
      </c>
      <c r="L54" s="189">
        <f t="shared" si="0"/>
        <v>10</v>
      </c>
      <c r="M54" s="190">
        <f t="shared" si="0"/>
        <v>0.007498942093324557</v>
      </c>
    </row>
    <row r="55" spans="9:13" ht="12.75">
      <c r="I55" s="155" t="s">
        <v>14</v>
      </c>
      <c r="J55" s="189">
        <f t="shared" si="0"/>
        <v>6.19441075076781E-08</v>
      </c>
      <c r="K55" s="189">
        <f t="shared" si="0"/>
        <v>0.012022644346174125</v>
      </c>
      <c r="L55" s="189">
        <f t="shared" si="0"/>
        <v>1E-20</v>
      </c>
      <c r="M55" s="190">
        <f t="shared" si="0"/>
        <v>6.19441075076781E-08</v>
      </c>
    </row>
    <row r="56" spans="9:13" ht="12.75">
      <c r="I56" s="155" t="s">
        <v>62</v>
      </c>
      <c r="J56" s="189">
        <f t="shared" si="0"/>
        <v>4.797334486366863E-13</v>
      </c>
      <c r="K56" s="189">
        <f t="shared" si="0"/>
        <v>1E-20</v>
      </c>
      <c r="L56" s="189">
        <f t="shared" si="0"/>
        <v>1E-20</v>
      </c>
      <c r="M56" s="190">
        <f t="shared" si="0"/>
        <v>4.797334486366863E-13</v>
      </c>
    </row>
    <row r="57" spans="9:13" ht="12.75">
      <c r="I57" s="152" t="s">
        <v>121</v>
      </c>
      <c r="J57" s="189">
        <f>J49^3/(J49^3+J54*J49^2+J54*J55*J49+J54*J55*J56)</f>
        <v>0.0013235577785727208</v>
      </c>
      <c r="K57" s="189">
        <f>K49^3/(K49^3+K54*K49^2+K54*K55*K49+K54*K55*K56)</f>
        <v>8.310725144027752E-10</v>
      </c>
      <c r="L57" s="189">
        <f>L49^3/(L49^3+L54*L49^2+L54*L55*L49+L54*L55*L56)</f>
        <v>9.99999000000999E-07</v>
      </c>
      <c r="M57" s="190">
        <f>M49^3/(M49^3+M54*M49^2+M54*M55*M49+M54*M55*M56)</f>
        <v>0.0013235577785727208</v>
      </c>
    </row>
    <row r="58" spans="9:13" ht="12.75">
      <c r="I58" s="152" t="s">
        <v>122</v>
      </c>
      <c r="J58" s="189">
        <f>J54*J49^2/(J49^3+J54*J49^2+J54*J55*J49+J54*J55*J56)</f>
        <v>0.9925283138686118</v>
      </c>
      <c r="K58" s="189">
        <f>K54*K49^2/(K49^3+K54*K49^2+K54*K55*K49+K54*K55*K56)</f>
        <v>0.0008310725144027752</v>
      </c>
      <c r="L58" s="189">
        <f>L54*L49^2/(L49^3+L54*L49^2+L54*L55*L49+L54*L55*L56)</f>
        <v>0.9999990000009991</v>
      </c>
      <c r="M58" s="190">
        <f>M54*M49^2/(M49^3+M54*M49^2+M54*M55*M49+M54*M55*M56)</f>
        <v>0.9925283138686118</v>
      </c>
    </row>
    <row r="59" spans="9:13" ht="12.75">
      <c r="I59" s="152" t="s">
        <v>123</v>
      </c>
      <c r="J59" s="189">
        <f>J54*J55*J49/(J49^3+J54*J49^2+J54*J55*J49+J54*J55*J56)</f>
        <v>0.006148128057869176</v>
      </c>
      <c r="K59" s="189">
        <f>K54*K55*K49/(K49^3+K54*K49^2+K54*K55*K49+K54*K55*K56)</f>
        <v>0.9991689266545237</v>
      </c>
      <c r="L59" s="189">
        <f>L54*L55*L49/(L49^3+L54*L49^2+L54*L55*L49+L54*L55*L56)</f>
        <v>9.99999000000999E-16</v>
      </c>
      <c r="M59" s="190">
        <f>M54*M55*M49/(M49^3+M54*M49^2+M54*M55*M49+M54*M55*M56)</f>
        <v>0.006148128057869176</v>
      </c>
    </row>
    <row r="60" spans="9:13" ht="12.75">
      <c r="I60" s="152" t="s">
        <v>124</v>
      </c>
      <c r="J60" s="189">
        <f>J54*J55*J56/(J49^3+J54*J49^2+J54*J55*J49+J54*J55*J56)</f>
        <v>2.949462675861552E-10</v>
      </c>
      <c r="K60" s="189">
        <f>K54*K55*K56/(K49^3+K54*K49^2+K54*K55*K49+K54*K55*K56)</f>
        <v>9.991689266545236E-16</v>
      </c>
      <c r="L60" s="189">
        <f>L54*L55*L56/(L49^3+L54*L49^2+L54*L55*L49+L54*L55*L56)</f>
        <v>9.999990000009987E-31</v>
      </c>
      <c r="M60" s="190">
        <f>M54*M55*M56/(M49^3+M54*M49^2+M54*M55*M49+M54*M55*M56)</f>
        <v>2.949462675861552E-10</v>
      </c>
    </row>
    <row r="61" spans="9:13" ht="12.75">
      <c r="I61" s="152" t="s">
        <v>74</v>
      </c>
      <c r="J61" s="189">
        <f>SUM(J57:J60)</f>
        <v>1</v>
      </c>
      <c r="K61" s="189">
        <f>SUM(K57:K60)</f>
        <v>1</v>
      </c>
      <c r="L61" s="189">
        <f>SUM(L57:L60)</f>
        <v>1.0000000000000002</v>
      </c>
      <c r="M61" s="190">
        <f>SUM(M57:M60)</f>
        <v>1</v>
      </c>
    </row>
    <row r="62" spans="9:13" ht="12.75">
      <c r="I62" s="152" t="s">
        <v>126</v>
      </c>
      <c r="J62" s="195">
        <f>J58+2*J59+3*J60</f>
        <v>1.004824570869189</v>
      </c>
      <c r="K62" s="195">
        <f>K58+2*K59+3*K60</f>
        <v>1.999168925823453</v>
      </c>
      <c r="L62" s="195">
        <f>L58+2*L59+3*L60</f>
        <v>0.9999990000010011</v>
      </c>
      <c r="M62" s="196">
        <f>M58+2*M59+3*M60</f>
        <v>1.004824570869189</v>
      </c>
    </row>
    <row r="63" spans="9:13" ht="12.75">
      <c r="I63" s="155"/>
      <c r="J63" s="197"/>
      <c r="M63" s="198"/>
    </row>
    <row r="64" spans="9:13" ht="12.75">
      <c r="I64" s="155" t="s">
        <v>65</v>
      </c>
      <c r="J64" s="199">
        <f>$J$40/J62</f>
        <v>1.9153586385967913</v>
      </c>
      <c r="K64" s="199">
        <f>$J$40/K62</f>
        <v>0.9626997484946785</v>
      </c>
      <c r="L64" s="199">
        <f>$J$40/L62</f>
        <v>1.924601346688035</v>
      </c>
      <c r="M64" s="200">
        <f>$J$40/M62</f>
        <v>1.9153586385967913</v>
      </c>
    </row>
    <row r="65" spans="9:13" ht="12.75">
      <c r="I65" s="155" t="s">
        <v>63</v>
      </c>
      <c r="J65" s="192">
        <v>98</v>
      </c>
      <c r="K65" s="192">
        <v>98.07</v>
      </c>
      <c r="L65" s="192">
        <v>63.01</v>
      </c>
      <c r="M65" s="193">
        <f>Alcalimetro!K10</f>
        <v>98</v>
      </c>
    </row>
    <row r="66" spans="9:13" ht="12.75">
      <c r="I66" s="155" t="s">
        <v>11</v>
      </c>
      <c r="J66" s="201">
        <v>0.85</v>
      </c>
      <c r="K66" s="201">
        <v>0.96</v>
      </c>
      <c r="L66" s="201">
        <v>0.67</v>
      </c>
      <c r="M66" s="193">
        <f>Alcalimetro!K11</f>
        <v>0.85</v>
      </c>
    </row>
    <row r="67" spans="9:13" ht="12.75">
      <c r="I67" s="155" t="s">
        <v>81</v>
      </c>
      <c r="J67" s="202">
        <f>J64*J65/J66</f>
        <v>220.82958421468888</v>
      </c>
      <c r="K67" s="202">
        <f>K64*K65/K66</f>
        <v>98.3457961821595</v>
      </c>
      <c r="L67" s="202">
        <f>L64*L65/L66</f>
        <v>180.99870276837774</v>
      </c>
      <c r="M67" s="203">
        <f>M64*M65/M66</f>
        <v>220.82958421468888</v>
      </c>
    </row>
    <row r="68" spans="9:13" ht="12.75">
      <c r="I68" s="155" t="s">
        <v>57</v>
      </c>
      <c r="J68" s="204">
        <f>J66*71/J65</f>
        <v>0.6158163265306122</v>
      </c>
      <c r="K68" s="204">
        <f>K66*71/K65</f>
        <v>0.6950137656775772</v>
      </c>
      <c r="L68" s="204">
        <f>L66*71/L65</f>
        <v>0.7549595302332963</v>
      </c>
      <c r="M68" s="205">
        <f>M66*71/M65</f>
        <v>0.6158163265306122</v>
      </c>
    </row>
    <row r="69" spans="9:13" ht="12.75">
      <c r="I69" s="155" t="s">
        <v>12</v>
      </c>
      <c r="J69" s="206">
        <f>1+0.0082*100*J68+0.00000497*(J68*100)^2.58</f>
        <v>1.7106249601212482</v>
      </c>
      <c r="K69" s="206">
        <v>1.766</v>
      </c>
      <c r="L69" s="206">
        <v>1.4021254071745395</v>
      </c>
      <c r="M69" s="200">
        <f>Alcalimetro!K12</f>
        <v>1.711</v>
      </c>
    </row>
    <row r="70" spans="9:13" ht="12.75">
      <c r="I70" s="155" t="s">
        <v>75</v>
      </c>
      <c r="J70" s="207">
        <f>J69*1000</f>
        <v>1710.6249601212483</v>
      </c>
      <c r="K70" s="207">
        <f>K69*1000</f>
        <v>1766</v>
      </c>
      <c r="L70" s="207">
        <f>L69*1000</f>
        <v>1402.1254071745395</v>
      </c>
      <c r="M70" s="208">
        <f>M69*1000</f>
        <v>1711</v>
      </c>
    </row>
    <row r="71" spans="9:13" ht="12.75">
      <c r="I71" s="155" t="s">
        <v>76</v>
      </c>
      <c r="J71" s="199">
        <f>J67/J70</f>
        <v>0.12909292765086075</v>
      </c>
      <c r="K71" s="199">
        <f>K67/K70</f>
        <v>0.05568844630926359</v>
      </c>
      <c r="L71" s="199">
        <f>L67/L70</f>
        <v>0.129088811772631</v>
      </c>
      <c r="M71" s="200">
        <f>M67/M70</f>
        <v>0.1290646313352945</v>
      </c>
    </row>
    <row r="72" spans="9:12" ht="12.75">
      <c r="I72" s="155" t="s">
        <v>91</v>
      </c>
      <c r="J72" s="209">
        <f>J67*J66/J65*31</f>
        <v>59.37611779650053</v>
      </c>
      <c r="K72" s="209">
        <f>K67*K66/K65*32</f>
        <v>30.806391951829713</v>
      </c>
      <c r="L72" s="209">
        <f>L67*L66/L65*14</f>
        <v>26.94441885363249</v>
      </c>
    </row>
  </sheetData>
  <sheetProtection password="CD8C" sheet="1" objects="1" scenarios="1"/>
  <mergeCells count="4">
    <mergeCell ref="C27:D27"/>
    <mergeCell ref="C28:D28"/>
    <mergeCell ref="C29:D29"/>
    <mergeCell ref="C30:D30"/>
  </mergeCells>
  <conditionalFormatting sqref="C9">
    <cfRule type="expression" priority="1" dxfId="0" stopIfTrue="1">
      <formula>$C$7=1</formula>
    </cfRule>
  </conditionalFormatting>
  <conditionalFormatting sqref="C13">
    <cfRule type="expression" priority="2" dxfId="0" stopIfTrue="1">
      <formula>$C$7=2</formula>
    </cfRule>
  </conditionalFormatting>
  <conditionalFormatting sqref="C17">
    <cfRule type="expression" priority="3" dxfId="0" stopIfTrue="1">
      <formula>$C$7=3</formula>
    </cfRule>
  </conditionalFormatting>
  <conditionalFormatting sqref="D8">
    <cfRule type="expression" priority="4" dxfId="0" stopIfTrue="1">
      <formula>$D$7=1</formula>
    </cfRule>
  </conditionalFormatting>
  <conditionalFormatting sqref="D9">
    <cfRule type="expression" priority="5" dxfId="0" stopIfTrue="1">
      <formula>$D$7=2</formula>
    </cfRule>
  </conditionalFormatting>
  <conditionalFormatting sqref="D13">
    <cfRule type="expression" priority="6" dxfId="0" stopIfTrue="1">
      <formula>$D$7=3</formula>
    </cfRule>
  </conditionalFormatting>
  <conditionalFormatting sqref="D17">
    <cfRule type="expression" priority="7" dxfId="0" stopIfTrue="1">
      <formula>$D$7=4</formula>
    </cfRule>
  </conditionalFormatting>
  <printOptions gridLines="1" headings="1"/>
  <pageMargins left="0.75" right="0.75" top="1" bottom="1" header="0.5" footer="0.5"/>
  <pageSetup orientation="portrait" paperSize="9" r:id="rId3"/>
  <headerFooter alignWithMargins="0">
    <oddHeader>&amp;C&amp;A</oddHeader>
    <oddFooter>&amp;CPage &amp;P</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allen hammer</dc:creator>
  <cp:keywords/>
  <dc:description/>
  <cp:lastModifiedBy>Rafael Castillo</cp:lastModifiedBy>
  <dcterms:created xsi:type="dcterms:W3CDTF">1998-07-06T12:55:19Z</dcterms:created>
  <dcterms:modified xsi:type="dcterms:W3CDTF">2009-01-27T16:08:16Z</dcterms:modified>
  <cp:category/>
  <cp:version/>
  <cp:contentType/>
  <cp:contentStatus/>
</cp:coreProperties>
</file>